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dmonds\OneDrive - otf.ca\Translation\Expenses\"/>
    </mc:Choice>
  </mc:AlternateContent>
  <xr:revisionPtr revIDLastSave="0" documentId="13_ncr:1_{16B09D77-24F8-4A85-A4FA-C12B42D71C3B}" xr6:coauthVersionLast="44" xr6:coauthVersionMax="44" xr10:uidLastSave="{00000000-0000-0000-0000-000000000000}"/>
  <bookViews>
    <workbookView xWindow="-120" yWindow="-120" windowWidth="29040" windowHeight="15840" firstSheet="28" activeTab="33" xr2:uid="{00000000-000D-0000-FFFF-FFFF00000000}"/>
  </bookViews>
  <sheets>
    <sheet name="jan15-mar15" sheetId="15" r:id="rId1"/>
    <sheet name="Jan 15" sheetId="5" r:id="rId2"/>
    <sheet name="Feb 15" sheetId="6" r:id="rId3"/>
    <sheet name="Mar 15" sheetId="7" r:id="rId4"/>
    <sheet name="Apr 15" sheetId="8" r:id="rId5"/>
    <sheet name="May 15" sheetId="9" r:id="rId6"/>
    <sheet name="June 15" sheetId="10" r:id="rId7"/>
    <sheet name="July 15" sheetId="11" r:id="rId8"/>
    <sheet name="Aug 15" sheetId="12" r:id="rId9"/>
    <sheet name="Sep 15" sheetId="13" r:id="rId10"/>
    <sheet name="Oct15" sheetId="14" r:id="rId11"/>
    <sheet name="Nov 15" sheetId="19" r:id="rId12"/>
    <sheet name="Sheet1" sheetId="29" r:id="rId13"/>
    <sheet name="Dec 15" sheetId="20" r:id="rId14"/>
    <sheet name="Q1 april-jun" sheetId="16" r:id="rId15"/>
    <sheet name="Q2 jul-sep" sheetId="17" r:id="rId16"/>
    <sheet name="Q3Oct-Dec" sheetId="21" r:id="rId17"/>
    <sheet name="Q4Jan-Mar" sheetId="22" r:id="rId18"/>
    <sheet name="Q1apr-Jun-2016" sheetId="23" r:id="rId19"/>
    <sheet name="Q2Jul-Sep 2016" sheetId="24" r:id="rId20"/>
    <sheet name="Q3 Oct-Dec 2106" sheetId="25" r:id="rId21"/>
    <sheet name="Q4 Jan-Mar 2017" sheetId="27" r:id="rId22"/>
    <sheet name="Q1 Apr - Jun 2017" sheetId="28" r:id="rId23"/>
    <sheet name="Q2 Jul - Sep 2017" sheetId="32" r:id="rId24"/>
    <sheet name="Q3 Oct - Dec 2017" sheetId="33" r:id="rId25"/>
    <sheet name="Q4 Jan - Mar 2018" sheetId="34" r:id="rId26"/>
    <sheet name="Q1 Apr - Jun 2018" sheetId="35" r:id="rId27"/>
    <sheet name="Q2 Jul - Sep 2018" sheetId="36" r:id="rId28"/>
    <sheet name="Q3 Oct- Dec 2018" sheetId="37" r:id="rId29"/>
    <sheet name="Q4 Jan - March 2019" sheetId="38" r:id="rId30"/>
    <sheet name="Q1 April -June 2019" sheetId="39" r:id="rId31"/>
    <sheet name="Q2 July-Sep 2019" sheetId="40" r:id="rId32"/>
    <sheet name="Q3 Oct- Dec 2019" sheetId="41" r:id="rId33"/>
    <sheet name="Q4 Jan 2020- March 2020" sheetId="42" r:id="rId34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33" hidden="1">'Q4 Jan 2020- March 2020'!$A$1:$R$43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42" l="1"/>
  <c r="J36" i="42" l="1"/>
  <c r="O43" i="42"/>
  <c r="O42" i="42"/>
  <c r="R42" i="42" s="1"/>
  <c r="O41" i="42"/>
  <c r="R41" i="42" s="1"/>
  <c r="O40" i="42"/>
  <c r="R40" i="42" s="1"/>
  <c r="O39" i="42"/>
  <c r="O35" i="42"/>
  <c r="O34" i="42"/>
  <c r="O33" i="42"/>
  <c r="O24" i="42"/>
  <c r="O23" i="42"/>
  <c r="O22" i="42"/>
  <c r="O21" i="42"/>
  <c r="O20" i="42"/>
  <c r="R43" i="42"/>
  <c r="R39" i="42"/>
  <c r="J38" i="42"/>
  <c r="O38" i="42" s="1"/>
  <c r="R38" i="42" s="1"/>
  <c r="J37" i="42"/>
  <c r="O37" i="42" s="1"/>
  <c r="K16" i="42"/>
  <c r="K26" i="42" l="1"/>
  <c r="O36" i="42" l="1"/>
  <c r="K17" i="42"/>
  <c r="R22" i="42" l="1"/>
  <c r="R23" i="42"/>
  <c r="R37" i="42"/>
  <c r="O2" i="42"/>
  <c r="R2" i="42" s="1"/>
  <c r="O3" i="42"/>
  <c r="R3" i="42" s="1"/>
  <c r="O4" i="42"/>
  <c r="R4" i="42" s="1"/>
  <c r="O6" i="42"/>
  <c r="R6" i="42" s="1"/>
  <c r="O7" i="42"/>
  <c r="R7" i="42" s="1"/>
  <c r="O9" i="42"/>
  <c r="R9" i="42" s="1"/>
  <c r="O10" i="42"/>
  <c r="R10" i="42" s="1"/>
  <c r="O11" i="42"/>
  <c r="R11" i="42" s="1"/>
  <c r="O12" i="42"/>
  <c r="R12" i="42" s="1"/>
  <c r="O13" i="42"/>
  <c r="R13" i="42" s="1"/>
  <c r="O14" i="42"/>
  <c r="R14" i="42" s="1"/>
  <c r="O15" i="42"/>
  <c r="R15" i="42" s="1"/>
  <c r="O16" i="42"/>
  <c r="R16" i="42" s="1"/>
  <c r="O17" i="42"/>
  <c r="R17" i="42" s="1"/>
  <c r="O18" i="42"/>
  <c r="R18" i="42" s="1"/>
  <c r="O19" i="42"/>
  <c r="R19" i="42" s="1"/>
  <c r="R20" i="42"/>
  <c r="R21" i="42"/>
  <c r="R24" i="42"/>
  <c r="O26" i="42"/>
  <c r="R26" i="42" s="1"/>
  <c r="O28" i="42"/>
  <c r="R28" i="42" s="1"/>
  <c r="O29" i="42"/>
  <c r="R29" i="42" s="1"/>
  <c r="O30" i="42"/>
  <c r="R30" i="42" s="1"/>
  <c r="O31" i="42"/>
  <c r="R31" i="42" s="1"/>
  <c r="O32" i="42"/>
  <c r="R32" i="42" s="1"/>
  <c r="R33" i="42"/>
  <c r="R34" i="42"/>
  <c r="R35" i="42"/>
  <c r="R36" i="42"/>
  <c r="L25" i="42"/>
  <c r="K28" i="42"/>
  <c r="K27" i="42"/>
  <c r="O27" i="42" s="1"/>
  <c r="R27" i="42" s="1"/>
  <c r="K25" i="42"/>
  <c r="O25" i="42" s="1"/>
  <c r="R25" i="42" s="1"/>
  <c r="J6" i="42"/>
  <c r="L6" i="42"/>
  <c r="J8" i="42" l="1"/>
  <c r="O8" i="42" s="1"/>
  <c r="R8" i="42" s="1"/>
  <c r="J5" i="42"/>
  <c r="O5" i="42" s="1"/>
  <c r="R5" i="42" s="1"/>
  <c r="L90" i="41" l="1"/>
  <c r="K90" i="41"/>
  <c r="O86" i="41"/>
  <c r="R86" i="41" s="1"/>
  <c r="O81" i="41"/>
  <c r="R81" i="41" s="1"/>
  <c r="O80" i="41"/>
  <c r="R80" i="41" s="1"/>
  <c r="O79" i="41"/>
  <c r="R79" i="41" s="1"/>
  <c r="O78" i="41"/>
  <c r="R78" i="41" s="1"/>
  <c r="O76" i="41"/>
  <c r="R76" i="41" s="1"/>
  <c r="O74" i="41"/>
  <c r="R74" i="41" s="1"/>
  <c r="O73" i="41"/>
  <c r="R73" i="41" s="1"/>
  <c r="O72" i="41"/>
  <c r="R72" i="41" s="1"/>
  <c r="O65" i="41"/>
  <c r="R65" i="41" s="1"/>
  <c r="O60" i="41"/>
  <c r="R60" i="41" s="1"/>
  <c r="O59" i="41"/>
  <c r="R59" i="41" s="1"/>
  <c r="O57" i="41"/>
  <c r="R57" i="41" s="1"/>
  <c r="O56" i="41"/>
  <c r="R56" i="41" s="1"/>
  <c r="O53" i="41"/>
  <c r="R53" i="41" s="1"/>
  <c r="K66" i="41"/>
  <c r="O68" i="41"/>
  <c r="R68" i="41" s="1"/>
  <c r="O67" i="41"/>
  <c r="R67" i="41" s="1"/>
  <c r="O75" i="41" l="1"/>
  <c r="R75" i="41" s="1"/>
  <c r="O51" i="41"/>
  <c r="R51" i="41" s="1"/>
  <c r="K47" i="41"/>
  <c r="O50" i="41"/>
  <c r="R50" i="41" s="1"/>
  <c r="O49" i="41"/>
  <c r="R49" i="41" s="1"/>
  <c r="O48" i="41"/>
  <c r="R48" i="41" s="1"/>
  <c r="O33" i="41"/>
  <c r="R33" i="41" s="1"/>
  <c r="O32" i="41"/>
  <c r="R32" i="41" s="1"/>
  <c r="O27" i="41"/>
  <c r="R27" i="41" s="1"/>
  <c r="O26" i="41"/>
  <c r="R26" i="41" s="1"/>
  <c r="O42" i="41"/>
  <c r="R42" i="41" s="1"/>
  <c r="O41" i="41"/>
  <c r="R41" i="41" s="1"/>
  <c r="K44" i="41"/>
  <c r="O45" i="41"/>
  <c r="R45" i="41" s="1"/>
  <c r="K46" i="41"/>
  <c r="O46" i="41" s="1"/>
  <c r="R46" i="41" s="1"/>
  <c r="K20" i="41"/>
  <c r="K30" i="41"/>
  <c r="K29" i="41"/>
  <c r="K82" i="41"/>
  <c r="K18" i="41"/>
  <c r="K19" i="41"/>
  <c r="O19" i="41" s="1"/>
  <c r="R19" i="41" s="1"/>
  <c r="K17" i="41"/>
  <c r="O18" i="41"/>
  <c r="R18" i="41" s="1"/>
  <c r="O16" i="41"/>
  <c r="R16" i="41" s="1"/>
  <c r="O15" i="41"/>
  <c r="R15" i="41" s="1"/>
  <c r="O13" i="41"/>
  <c r="R13" i="41" s="1"/>
  <c r="O14" i="41"/>
  <c r="R14" i="41" s="1"/>
  <c r="O11" i="41" l="1"/>
  <c r="R11" i="41" s="1"/>
  <c r="O10" i="41"/>
  <c r="R10" i="41" s="1"/>
  <c r="O9" i="41"/>
  <c r="R9" i="41" s="1"/>
  <c r="O8" i="41"/>
  <c r="R8" i="41" s="1"/>
  <c r="O7" i="41"/>
  <c r="R7" i="41" s="1"/>
  <c r="O6" i="41"/>
  <c r="R6" i="41" s="1"/>
  <c r="Q90" i="41" l="1"/>
  <c r="P90" i="41"/>
  <c r="N90" i="41"/>
  <c r="M90" i="41"/>
  <c r="J90" i="41"/>
  <c r="O85" i="41" l="1"/>
  <c r="R85" i="41" s="1"/>
  <c r="K89" i="41"/>
  <c r="O89" i="41" s="1"/>
  <c r="R89" i="41" s="1"/>
  <c r="O82" i="41"/>
  <c r="R82" i="41" s="1"/>
  <c r="K88" i="41"/>
  <c r="O88" i="41" s="1"/>
  <c r="R88" i="41" s="1"/>
  <c r="K87" i="41"/>
  <c r="O87" i="41" s="1"/>
  <c r="R87" i="41" s="1"/>
  <c r="K84" i="41"/>
  <c r="O84" i="41" s="1"/>
  <c r="R84" i="41" s="1"/>
  <c r="K83" i="41"/>
  <c r="O83" i="41" s="1"/>
  <c r="R83" i="41" s="1"/>
  <c r="O77" i="41"/>
  <c r="R77" i="41" s="1"/>
  <c r="O71" i="41"/>
  <c r="R71" i="41" s="1"/>
  <c r="O3" i="41"/>
  <c r="R3" i="41" s="1"/>
  <c r="O4" i="41"/>
  <c r="O5" i="41"/>
  <c r="R5" i="41" s="1"/>
  <c r="O37" i="41"/>
  <c r="R37" i="41" s="1"/>
  <c r="O38" i="41"/>
  <c r="R38" i="41" s="1"/>
  <c r="O63" i="41"/>
  <c r="R63" i="41" s="1"/>
  <c r="O69" i="41"/>
  <c r="R69" i="41" s="1"/>
  <c r="O2" i="41"/>
  <c r="R2" i="41" s="1"/>
  <c r="K70" i="41"/>
  <c r="O70" i="41" s="1"/>
  <c r="R70" i="41" s="1"/>
  <c r="O66" i="41"/>
  <c r="R66" i="41" s="1"/>
  <c r="O64" i="41"/>
  <c r="R64" i="41" s="1"/>
  <c r="O55" i="41"/>
  <c r="R55" i="41" s="1"/>
  <c r="O58" i="41"/>
  <c r="R58" i="41" s="1"/>
  <c r="K62" i="41"/>
  <c r="O62" i="41" s="1"/>
  <c r="R62" i="41" s="1"/>
  <c r="K61" i="41"/>
  <c r="O61" i="41" s="1"/>
  <c r="R61" i="41" s="1"/>
  <c r="O44" i="41"/>
  <c r="R44" i="41" s="1"/>
  <c r="O40" i="41"/>
  <c r="R40" i="41" s="1"/>
  <c r="K54" i="41"/>
  <c r="O54" i="41" s="1"/>
  <c r="R54" i="41" s="1"/>
  <c r="O52" i="41"/>
  <c r="R52" i="41" s="1"/>
  <c r="O47" i="41"/>
  <c r="R47" i="41" s="1"/>
  <c r="K43" i="41"/>
  <c r="O43" i="41" s="1"/>
  <c r="R43" i="41" s="1"/>
  <c r="K39" i="41"/>
  <c r="O39" i="41" s="1"/>
  <c r="R39" i="41" s="1"/>
  <c r="O25" i="41"/>
  <c r="R25" i="41" s="1"/>
  <c r="K36" i="41"/>
  <c r="O36" i="41" s="1"/>
  <c r="R36" i="41" s="1"/>
  <c r="K35" i="41"/>
  <c r="O35" i="41" s="1"/>
  <c r="R35" i="41" s="1"/>
  <c r="K34" i="41"/>
  <c r="O34" i="41" s="1"/>
  <c r="R34" i="41" s="1"/>
  <c r="O31" i="41"/>
  <c r="R31" i="41" s="1"/>
  <c r="O30" i="41"/>
  <c r="R30" i="41" s="1"/>
  <c r="K28" i="41"/>
  <c r="O28" i="41" s="1"/>
  <c r="R28" i="41" s="1"/>
  <c r="K24" i="41"/>
  <c r="O24" i="41" s="1"/>
  <c r="R24" i="41" s="1"/>
  <c r="K23" i="41"/>
  <c r="O23" i="41" s="1"/>
  <c r="R23" i="41" s="1"/>
  <c r="K22" i="41"/>
  <c r="O22" i="41" s="1"/>
  <c r="R22" i="41" s="1"/>
  <c r="K21" i="41"/>
  <c r="O12" i="41"/>
  <c r="R12" i="41" s="1"/>
  <c r="O20" i="41"/>
  <c r="R20" i="41" s="1"/>
  <c r="O17" i="41"/>
  <c r="R17" i="41" s="1"/>
  <c r="O21" i="41" l="1"/>
  <c r="R21" i="41" s="1"/>
  <c r="R4" i="41"/>
  <c r="L10" i="40" l="1"/>
  <c r="J15" i="40"/>
  <c r="O15" i="40" s="1"/>
  <c r="R15" i="40" s="1"/>
  <c r="O10" i="40"/>
  <c r="R10" i="40" s="1"/>
  <c r="O14" i="40"/>
  <c r="R14" i="40" s="1"/>
  <c r="O13" i="40"/>
  <c r="R13" i="40" s="1"/>
  <c r="O12" i="40"/>
  <c r="R12" i="40" s="1"/>
  <c r="O11" i="40"/>
  <c r="R11" i="40" s="1"/>
  <c r="R90" i="41" l="1"/>
  <c r="O90" i="41"/>
  <c r="K2" i="40"/>
  <c r="O9" i="40" l="1"/>
  <c r="R9" i="40" s="1"/>
  <c r="O8" i="40"/>
  <c r="R8" i="40" s="1"/>
  <c r="M7" i="40"/>
  <c r="K7" i="40"/>
  <c r="O7" i="40" s="1"/>
  <c r="R7" i="40" s="1"/>
  <c r="O6" i="40"/>
  <c r="R6" i="40" s="1"/>
  <c r="O5" i="40"/>
  <c r="R5" i="40" s="1"/>
  <c r="K4" i="40" l="1"/>
  <c r="K3" i="40"/>
  <c r="O4" i="40"/>
  <c r="R4" i="40" s="1"/>
  <c r="J3" i="40"/>
  <c r="O3" i="40" l="1"/>
  <c r="R3" i="40" s="1"/>
  <c r="O2" i="40"/>
  <c r="R2" i="40" s="1"/>
  <c r="O16" i="39" l="1"/>
  <c r="R16" i="39" s="1"/>
  <c r="O15" i="39"/>
  <c r="R15" i="39" s="1"/>
  <c r="O14" i="39"/>
  <c r="R14" i="39" s="1"/>
  <c r="O13" i="39"/>
  <c r="R13" i="39" s="1"/>
  <c r="O12" i="39"/>
  <c r="R12" i="39" s="1"/>
  <c r="J9" i="39" l="1"/>
  <c r="O11" i="39" l="1"/>
  <c r="R11" i="39"/>
  <c r="O9" i="39"/>
  <c r="R9" i="39" s="1"/>
  <c r="O10" i="39"/>
  <c r="R10" i="39" s="1"/>
  <c r="O8" i="39"/>
  <c r="R8" i="39"/>
  <c r="O4" i="39" l="1"/>
  <c r="R4" i="39" s="1"/>
  <c r="O5" i="39"/>
  <c r="R5" i="39" s="1"/>
  <c r="O6" i="39"/>
  <c r="R6" i="39" s="1"/>
  <c r="O7" i="39"/>
  <c r="R7" i="39" s="1"/>
  <c r="K2" i="39"/>
  <c r="O2" i="39" s="1"/>
  <c r="R2" i="39" s="1"/>
  <c r="K3" i="39"/>
  <c r="O3" i="39" s="1"/>
  <c r="R3" i="39" s="1"/>
  <c r="K11" i="38" l="1"/>
  <c r="R11" i="38" s="1"/>
  <c r="R12" i="38"/>
  <c r="R10" i="38"/>
  <c r="R9" i="38"/>
  <c r="R8" i="38"/>
  <c r="R7" i="38"/>
  <c r="R6" i="38"/>
  <c r="R5" i="38" l="1"/>
  <c r="J4" i="38"/>
  <c r="R4" i="38" s="1"/>
  <c r="R3" i="38" l="1"/>
  <c r="R2" i="38"/>
  <c r="R9" i="37" l="1"/>
  <c r="R8" i="37"/>
  <c r="R7" i="37"/>
  <c r="K6" i="37"/>
  <c r="R6" i="37" s="1"/>
  <c r="R5" i="37"/>
  <c r="K4" i="37"/>
  <c r="R4" i="37" s="1"/>
  <c r="R3" i="37" l="1"/>
  <c r="R2" i="37"/>
  <c r="K5" i="36" l="1"/>
  <c r="R6" i="36" l="1"/>
  <c r="R5" i="36"/>
  <c r="R4" i="36"/>
  <c r="R3" i="36"/>
  <c r="R2" i="36"/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R39" i="33" s="1"/>
  <c r="K40" i="33"/>
  <c r="R38" i="33"/>
  <c r="R36" i="33"/>
  <c r="R29" i="33"/>
  <c r="R42" i="33"/>
  <c r="R28" i="33"/>
  <c r="R27" i="33"/>
  <c r="R26" i="33"/>
  <c r="R41" i="33"/>
  <c r="R24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O32" i="25"/>
  <c r="P32" i="25" s="1"/>
  <c r="O31" i="25"/>
  <c r="O30" i="25"/>
  <c r="P30" i="25" s="1"/>
  <c r="R30" i="25" s="1"/>
  <c r="O29" i="25"/>
  <c r="P29" i="25" s="1"/>
  <c r="R29" i="25" s="1"/>
  <c r="K28" i="25"/>
  <c r="J28" i="25"/>
  <c r="M27" i="25"/>
  <c r="K27" i="25"/>
  <c r="J26" i="25"/>
  <c r="O26" i="25" s="1"/>
  <c r="O25" i="25"/>
  <c r="P25" i="25" s="1"/>
  <c r="R25" i="25" s="1"/>
  <c r="O24" i="25"/>
  <c r="P24" i="25" s="1"/>
  <c r="R24" i="25" s="1"/>
  <c r="O23" i="25"/>
  <c r="P23" i="25" s="1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8" i="25" l="1"/>
  <c r="P28" i="25" s="1"/>
  <c r="O27" i="25"/>
  <c r="O39" i="25"/>
  <c r="P39" i="25" s="1"/>
  <c r="R39" i="25" s="1"/>
  <c r="P38" i="25"/>
  <c r="R38" i="25" s="1"/>
  <c r="P3" i="25"/>
  <c r="R3" i="25" s="1"/>
  <c r="P37" i="25"/>
  <c r="R37" i="25" s="1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 xr:uid="{00000000-0006-0000-0E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 xr:uid="{00000000-0006-0000-0E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 xr:uid="{00000000-0006-0000-0E00-000016000000}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 xr:uid="{00000000-0006-0000-0E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 xr:uid="{00000000-0006-0000-0E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 xr:uid="{00000000-0006-0000-0E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 xr:uid="{00000000-0006-0000-0E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 xr:uid="{00000000-0006-0000-0E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 xr:uid="{00000000-0006-0000-0E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 xr:uid="{00000000-0006-0000-0E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E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 xr:uid="{00000000-0006-0000-0E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 xr:uid="{00000000-0006-0000-0E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 xr:uid="{00000000-0006-0000-0E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 xr:uid="{00000000-0006-0000-0E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 xr:uid="{00000000-0006-0000-0E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 xr:uid="{00000000-0006-0000-0E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E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 xr:uid="{00000000-0006-0000-0E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0E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 xr:uid="{00000000-0006-0000-0E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 xr:uid="{00000000-0006-0000-11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M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Q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&amp; taxi
</t>
        </r>
      </text>
    </comment>
    <comment ref="K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taxi, parking
</t>
        </r>
      </text>
    </comment>
    <comment ref="K13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32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20th and 21st meetings</t>
        </r>
      </text>
    </comment>
    <comment ref="J35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airfare, seat fee, change fee</t>
        </r>
      </text>
    </comment>
    <comment ref="K36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travel, parking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<sst xmlns="http://schemas.openxmlformats.org/spreadsheetml/2006/main" count="6372" uniqueCount="948">
  <si>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</si>
  <si>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</si>
  <si>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</si>
  <si>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</si>
  <si>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</si>
  <si>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</si>
  <si>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</si>
  <si>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</si>
  <si>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</si>
  <si>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</si>
  <si>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</si>
  <si>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</si>
  <si>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</si>
  <si>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</si>
  <si>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</si>
  <si>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</si>
  <si>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</si>
  <si>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</si>
  <si>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</si>
  <si>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</si>
  <si>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</si>
  <si>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</si>
  <si>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</si>
  <si>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Huntsville, ON</t>
  </si>
  <si>
    <t>Washington, DC, United States</t>
  </si>
  <si>
    <t>Board Member</t>
  </si>
  <si>
    <t>Accommodation</t>
  </si>
  <si>
    <t>Dr. Dev R. Sainani</t>
  </si>
  <si>
    <t>Purpose(elaborated)</t>
  </si>
  <si>
    <t>travel to Council of Chairs meeting</t>
  </si>
  <si>
    <t>Amos Key Jr.</t>
  </si>
  <si>
    <t>Blair Dimock</t>
  </si>
  <si>
    <t>VP, Performance and Strategic Investments</t>
  </si>
  <si>
    <t>Jean-Gilles Pelletier</t>
  </si>
  <si>
    <t>VP, Community Investments</t>
  </si>
  <si>
    <t>Mississauga, ON</t>
  </si>
  <si>
    <t>St. Catharines, ON</t>
  </si>
  <si>
    <t>Board Chair</t>
  </si>
  <si>
    <t>Thomas Chanzy</t>
  </si>
  <si>
    <t>VP,Communications and Public Affairs</t>
  </si>
  <si>
    <t xml:space="preserve">travel to meeting on Foundation business </t>
  </si>
  <si>
    <t>Board of Chair</t>
  </si>
  <si>
    <t>Listowel, Barrie, ON</t>
  </si>
  <si>
    <t>Brantford, Chatham, Toronto ON</t>
  </si>
  <si>
    <t>PRO Educational Forum 2015</t>
  </si>
  <si>
    <t>Blue Mountain, ON</t>
  </si>
  <si>
    <t>Kitchener, ON</t>
  </si>
  <si>
    <t>Ottawa, ON</t>
  </si>
  <si>
    <t>Lucille Roch</t>
  </si>
  <si>
    <t>Barbara Murck</t>
  </si>
  <si>
    <t>Frank Passaro</t>
  </si>
  <si>
    <t xml:space="preserve">Travel to attend a sector-related meeting </t>
  </si>
  <si>
    <t xml:space="preserve">Travel to attend a sector-related Conference </t>
  </si>
  <si>
    <t xml:space="preserve">Travel to attend Treasury Board Secretariat training  </t>
  </si>
  <si>
    <t>Travel to Council of Chairs meeting</t>
  </si>
  <si>
    <t>Travel to attend Board meeting</t>
  </si>
  <si>
    <t>Travel to attend Province-Wide Grant Review Committee meeting</t>
  </si>
  <si>
    <t>Travel to meeting with MTCS representatives</t>
  </si>
  <si>
    <t>Travel to meetings with stakeholders</t>
  </si>
  <si>
    <t>Travel to attend Strategy Lead meeting</t>
  </si>
  <si>
    <t>Travel to attend YOF Grant announcement</t>
  </si>
  <si>
    <t>Travel to Granting Laison Committee meeting</t>
  </si>
  <si>
    <t>Travel to Senior Leadership Team meeting</t>
  </si>
  <si>
    <t xml:space="preserve">Travel to Leadership Team retreat  </t>
  </si>
  <si>
    <t>Travel to attend granting meeting</t>
  </si>
  <si>
    <t>Travel to meet with stakeholder</t>
  </si>
  <si>
    <t xml:space="preserve">Travel to meetings on Foundation business </t>
  </si>
  <si>
    <t>Travel to Leadership Team retreat</t>
  </si>
  <si>
    <t>Travel to meet with Board member</t>
  </si>
  <si>
    <t xml:space="preserve">Travel to attend granting meeting </t>
  </si>
  <si>
    <t>Travel to meet with an OTF grantee</t>
  </si>
  <si>
    <t>Travel to attend recognition event on Foundation business</t>
  </si>
  <si>
    <t xml:space="preserve">Travel to attend granting meeting  </t>
  </si>
  <si>
    <t>Travel to attend Grant Review Team meeting and to meet with a grantee</t>
  </si>
  <si>
    <t>Travel to attend innoweave partnership meeting and CKX 2015 2.0 Conference meeting</t>
  </si>
  <si>
    <t>Travel to attend ELN Panel meeting</t>
  </si>
  <si>
    <t>Travel to attend KPMG meeting</t>
  </si>
  <si>
    <t>Travel to attend Grantmakers for Effective Organization Funders conference</t>
  </si>
  <si>
    <t>Travel to attend Treasury Board Secretariat Training for appointees of Board-Governed classified agencies</t>
  </si>
  <si>
    <t xml:space="preserve">Travel to attend Edelman Trust Barometer launch </t>
  </si>
  <si>
    <t xml:space="preserve">Travel to meet with Centre for International Governance Innovation &amp; Perimeter Institute </t>
  </si>
  <si>
    <t>Travel to attend regional Grant Review Team meeting</t>
  </si>
  <si>
    <t>Travel to attend United Way of the Greater Triangle &amp; Civic action meeting</t>
  </si>
  <si>
    <t>Travel to attend DiverseCity onBoard program launch</t>
  </si>
  <si>
    <t>Travel to attend Mozilla Reps meeting</t>
  </si>
  <si>
    <t>Travel to attend United Way event</t>
  </si>
  <si>
    <t xml:space="preserve">Travel to attend Glencorp launch </t>
  </si>
  <si>
    <t>Timmins, ON</t>
  </si>
  <si>
    <t>Travel to attend Canadian club conference on Social Innovation and Philanthropy</t>
  </si>
  <si>
    <t>Travel to attend Institute of Canadian Citizenship meeting</t>
  </si>
  <si>
    <t>Travel to attend Poverty Reduction Summit</t>
  </si>
  <si>
    <t xml:space="preserve">Travel to attend CI conference </t>
  </si>
  <si>
    <t>Travel to attend OAFB Conference</t>
  </si>
  <si>
    <t>Windsor, ON</t>
  </si>
  <si>
    <t>Travel to attend Public Policy Forum meeting</t>
  </si>
  <si>
    <t xml:space="preserve">Travel to attend Canadian Business Hall of Fame </t>
  </si>
  <si>
    <t>Travel to attend M &amp; A Authors meeting</t>
  </si>
  <si>
    <t>San Francisco, USA</t>
  </si>
  <si>
    <t>Travel to attend Culture of Engagement conference</t>
  </si>
  <si>
    <t>Sudbury, ON</t>
  </si>
  <si>
    <t>Travel to attend Centre for Effective Philanthropy conference</t>
  </si>
  <si>
    <t xml:space="preserve">Travel to attend Canadian  Club  Conference </t>
  </si>
  <si>
    <t>Pierre Page</t>
  </si>
  <si>
    <t>Chatham, ON</t>
  </si>
  <si>
    <t>Travel to attend PW meeting</t>
  </si>
  <si>
    <t>Travel to attend Cloud Data meeting</t>
  </si>
  <si>
    <t>Travel to attend GoGreen Cricket Event meeting</t>
  </si>
  <si>
    <t>Travel to attend a sector-related meeting</t>
  </si>
  <si>
    <t xml:space="preserve">Travel to attend Glencore launch </t>
  </si>
  <si>
    <t>Travel to attend Canadian club luncheon on Philanthropy</t>
  </si>
  <si>
    <t>Travel to attend C.D Howe institute meeting</t>
  </si>
  <si>
    <t>Travel to attend Canadian club Luncheon on Philanthropy</t>
  </si>
  <si>
    <t>ok -KT</t>
  </si>
  <si>
    <t>Finance &amp; Audit Committee meeting</t>
  </si>
  <si>
    <t xml:space="preserve">Travel to attend granting review committee meeting  </t>
  </si>
  <si>
    <t xml:space="preserve">Travel to attend Board Committee meeting and Pan Am Games Torch Relay event </t>
  </si>
  <si>
    <t>Travel to attend CGPC &amp; Pan Am Games Torch Relay event</t>
  </si>
  <si>
    <t>Travel to attend Trans Canada trail walk event</t>
  </si>
  <si>
    <t>Thunder Bay, ON</t>
  </si>
  <si>
    <t xml:space="preserve">Travel to attend Global Diversity exchange Lecture </t>
  </si>
  <si>
    <t>Travel to attend Canadian Club meeting</t>
  </si>
  <si>
    <t>Travel to meet former BD chair (Helen Burstyn)</t>
  </si>
  <si>
    <t>Travel to attend CI conference</t>
  </si>
  <si>
    <t>Travel to meet Charlie Forna-International Cricket Council</t>
  </si>
  <si>
    <t>Travel to attend Samara club meeting</t>
  </si>
  <si>
    <t>Brian Collins</t>
  </si>
  <si>
    <t>Denise Amyot</t>
  </si>
  <si>
    <t>Travel to attend outreach meeting</t>
  </si>
  <si>
    <t>London, ON</t>
  </si>
  <si>
    <t>Hamilton, ON</t>
  </si>
  <si>
    <t>Travel to attend recognition event</t>
  </si>
  <si>
    <t>Travel to attend Unity recognition event</t>
  </si>
  <si>
    <t>Travel to attend GRT Retreat meeting</t>
  </si>
  <si>
    <t>Mariana Catz</t>
  </si>
  <si>
    <t>Travel to attend LMRPC conference</t>
  </si>
  <si>
    <t>Montreal, QC</t>
  </si>
  <si>
    <t>Travel to attend Understanding Our True History meeting</t>
  </si>
  <si>
    <t xml:space="preserve">Travel to attend CEGN's annual opening reception conference </t>
  </si>
  <si>
    <t>Travel to attend The Centre for Effective Philanthropy conference</t>
  </si>
  <si>
    <t>VP, Provincial Programs &amp; Partnerships</t>
  </si>
  <si>
    <t xml:space="preserve">Travel to attend AOHC annual conference </t>
  </si>
  <si>
    <t>Travel to attend YOF Poverty Reduction Summit meeting</t>
  </si>
  <si>
    <t>Travel to attend Ontario Arts Council meeting with Peter Caldwell</t>
  </si>
  <si>
    <t>Travel to attend meeting Sustainability Network Panel meeting</t>
  </si>
  <si>
    <t>Windsor , ON</t>
  </si>
  <si>
    <t>Travel to attend meeting with BD member Reynolds Mastin</t>
  </si>
  <si>
    <t>Travel to attend meeting with BD member Lucille Roch</t>
  </si>
  <si>
    <t>Travel to attend Centre for Social Impact meeting</t>
  </si>
  <si>
    <t>Ruby Lam</t>
  </si>
  <si>
    <t>Parry Sound, ON</t>
  </si>
  <si>
    <t>Turkey Point, ON</t>
  </si>
  <si>
    <t>Temagami, ON</t>
  </si>
  <si>
    <t>Travel to attend Innoweave meeting &amp; present at the MNLP Philanthropy Think &amp; Community- University Partnerships sessions</t>
  </si>
  <si>
    <t>Travel to attend OAFB conference</t>
  </si>
  <si>
    <t xml:space="preserve">Travel to attend briefing meeting with Ministry </t>
  </si>
  <si>
    <t>Niagara, ON</t>
  </si>
  <si>
    <t>Travel to attend recognition event with volunteers</t>
  </si>
  <si>
    <t>Travel to attend a professional development course</t>
  </si>
  <si>
    <t>Travel to attend Imagine Canada's Sector Roundtable conference</t>
  </si>
  <si>
    <t>Travel to attend Weston Foundation Farewell Reception</t>
  </si>
  <si>
    <t>Midland, ON</t>
  </si>
  <si>
    <t xml:space="preserve">Travel to meet Sanjeeve Sridharan- The evaluation Centre for complex Health Intervention </t>
  </si>
  <si>
    <t>Travel to attend MCYS representative meeting</t>
  </si>
  <si>
    <t>Travel to attend TCT Board reception</t>
  </si>
  <si>
    <t>Travel to attend YPO networking event and meetings</t>
  </si>
  <si>
    <t>Travel to attend CIO Roundtable meeting</t>
  </si>
  <si>
    <t>Barrie, ON</t>
  </si>
  <si>
    <t>VP, Public Affairs</t>
  </si>
  <si>
    <t>VP,  Public Affairs</t>
  </si>
  <si>
    <t>Travel to attend volunteer training session</t>
  </si>
  <si>
    <t>Travel to conduct interviews</t>
  </si>
  <si>
    <t>Vancouver, BC</t>
  </si>
  <si>
    <t>Travel to meeting with Board member</t>
  </si>
  <si>
    <t>Emily Ng</t>
  </si>
  <si>
    <t>Former Board Chair</t>
  </si>
  <si>
    <t>Travel to attend meeting with Ministry re: New Granting Strategy</t>
  </si>
  <si>
    <t>Travel to attend Montreal Research Laboratory on Canadian Philanthropy conference</t>
  </si>
  <si>
    <t>CIO and VP Evaluation and Knowledge Management</t>
  </si>
  <si>
    <t>Travel to attend community outreach session</t>
  </si>
  <si>
    <t>Travel to attend granting announcement</t>
  </si>
  <si>
    <t>Calgary, AB</t>
  </si>
  <si>
    <t>Travel to speak at Chatham Kent spring conference about OTF</t>
  </si>
  <si>
    <t>Ikem Opara, Arti Freeman, Carmen Robillard, Tracey Robertson, Thea Silver, Sanjay Shahani, Donna Maitland</t>
  </si>
  <si>
    <t>Travel to attend meeting with Nouman Ashraf</t>
  </si>
  <si>
    <t>Travel to attend CPA draft document meeting</t>
  </si>
  <si>
    <t>Travel to attend Social Investment Partnership announcement</t>
  </si>
  <si>
    <t xml:space="preserve">Travel to attend a sector-related conference </t>
  </si>
  <si>
    <t>Travel to speak at a sector-related conference</t>
  </si>
  <si>
    <t>Travel to attend a sector-related conference</t>
  </si>
  <si>
    <t>Travel to attend sector-related conferences</t>
  </si>
  <si>
    <t>Travel to meeting with stakeholders</t>
  </si>
  <si>
    <t>Director of Human Resources</t>
  </si>
  <si>
    <t>Travel to attend Board Committee meeting</t>
  </si>
  <si>
    <t>Travel to attend a meeting with Ministry officials</t>
  </si>
  <si>
    <t>Travel to attend a professional development meeting</t>
  </si>
  <si>
    <t>Travel to attend a professional development conference</t>
  </si>
  <si>
    <t>Travel to attend a meeting with Ministry representatives</t>
  </si>
  <si>
    <t xml:space="preserve">Travel to meeting on Foundation business </t>
  </si>
  <si>
    <t>Travel to attend reception with stakeholders</t>
  </si>
  <si>
    <t>Travel attend Toronto Global form dinner meeting</t>
  </si>
  <si>
    <t>Toronto.ON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</si>
  <si>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</si>
  <si>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</si>
  <si>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</si>
  <si>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</si>
  <si>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</si>
  <si>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</si>
  <si>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</si>
  <si>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</si>
  <si>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</si>
  <si>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</si>
  <si>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</si>
  <si>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</si>
  <si>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</si>
  <si>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</si>
  <si>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>Chicago, USA</t>
  </si>
  <si>
    <t xml:space="preserve">Travel to attend Board meeting </t>
  </si>
  <si>
    <t>Travel to attend granting announcement and Board meeting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</si>
  <si>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</si>
  <si>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</si>
  <si>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</si>
  <si>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</si>
  <si>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</si>
  <si>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</si>
  <si>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</si>
  <si>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</si>
  <si>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</si>
  <si>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</si>
  <si>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</si>
  <si>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</si>
  <si>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</si>
  <si>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</si>
  <si>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</si>
  <si>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</si>
  <si>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</si>
  <si>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</si>
  <si>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</si>
  <si>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</si>
  <si>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</si>
  <si>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</si>
  <si>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</si>
  <si>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</si>
  <si>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</si>
  <si>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</si>
  <si>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 xml:space="preserve">Travel to attend Collective Impact Community of Practice conference 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</si>
  <si>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</si>
  <si>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</si>
  <si>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</si>
  <si>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</si>
  <si>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</si>
  <si>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</si>
  <si>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</si>
  <si>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</si>
  <si>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</si>
  <si>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</si>
  <si>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</si>
  <si>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</si>
  <si>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</si>
  <si>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</si>
  <si>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Ellevate Toronto Panel meeting</t>
  </si>
  <si>
    <t>Travel to attend Weston announcement event</t>
  </si>
  <si>
    <t xml:space="preserve">Meal with stakeholder </t>
  </si>
  <si>
    <t>Travel to home office prior to relocating</t>
  </si>
  <si>
    <t>Travel to attend Grant Review Team meeting</t>
  </si>
  <si>
    <t>Travel to attend Ontario Fund Grant Review Committee meeting</t>
  </si>
  <si>
    <t>Travel to attend PP Committee</t>
  </si>
  <si>
    <t xml:space="preserve"> </t>
  </si>
  <si>
    <t>Hamilton, Kingston,Thunder Bay, Toronto,  ON</t>
  </si>
  <si>
    <t xml:space="preserve">Travel to attend Gordon Foundation event </t>
  </si>
  <si>
    <t>Travel to attend Keynote address at Canadian Association &amp; Employers conference</t>
  </si>
  <si>
    <t>Travel to attend Global Foundation Social Innovation meeting</t>
  </si>
  <si>
    <t>New York, USA</t>
  </si>
  <si>
    <t>Travel to attend RBC meeting</t>
  </si>
  <si>
    <t xml:space="preserve">Travel to attend Ryerson panel event </t>
  </si>
  <si>
    <t>Travel to attend McConnell &amp; Changnon Foundation meeting</t>
  </si>
  <si>
    <t xml:space="preserve">Travel to attend Economic club of canada launch </t>
  </si>
  <si>
    <t>Travel to attend GRT meeting &amp; International Women's Day panel meeting</t>
  </si>
  <si>
    <t>Cambridge, ON</t>
  </si>
  <si>
    <t>Owen Sound, ON</t>
  </si>
  <si>
    <t>St.Catherines, ON</t>
  </si>
  <si>
    <t>Brantford, ON</t>
  </si>
  <si>
    <t>Travel to attend Grant announcement with Minister at public school</t>
  </si>
  <si>
    <t>Travel to attened Angus forum roundtable event</t>
  </si>
  <si>
    <t>Travel to attened Grant Managers Network conference</t>
  </si>
  <si>
    <t>New Orleans,USA</t>
  </si>
  <si>
    <t>Travel to attened McConnell &amp; Changnon Foundation meeting</t>
  </si>
  <si>
    <t>Travel to attend Community Investment workshop</t>
  </si>
  <si>
    <t>Seattle, USA</t>
  </si>
  <si>
    <t>Travel to attend sector-related conference</t>
  </si>
  <si>
    <t>Travel to attend Community Impact Summit Forum conference</t>
  </si>
  <si>
    <t>Travel to attend GEO conference</t>
  </si>
  <si>
    <t>Minneapolis, USA</t>
  </si>
  <si>
    <t>Travel to attend Tamarack conference</t>
  </si>
  <si>
    <t>2016-0404</t>
  </si>
  <si>
    <t>Travel to attend MPP meeting</t>
  </si>
  <si>
    <t>Orangeville, ON</t>
  </si>
  <si>
    <t>Peterborough, ON</t>
  </si>
  <si>
    <t>Travel to attend CPA meeting</t>
  </si>
  <si>
    <t>Travel to attend Leadership Team meeting</t>
  </si>
  <si>
    <t xml:space="preserve">Travel to Senior Leadership Team retreat  </t>
  </si>
  <si>
    <t>Travel to attend a sector-related event and granting meeting</t>
  </si>
  <si>
    <t xml:space="preserve">Travel to attend Appointee governance training </t>
  </si>
  <si>
    <t>Travel to attend sector-related meeting</t>
  </si>
  <si>
    <t>Travel to attend Collective Impact Forum</t>
  </si>
  <si>
    <t>Edmonton, AB</t>
  </si>
  <si>
    <t>Travel to attend Board &amp; All staff meeting</t>
  </si>
  <si>
    <t>Oakville, Windsor, London, Thunder Bay, Hamilton, Kingston, Toronto, North Bay, Sudbury,ON</t>
  </si>
  <si>
    <t>Windsor, North Bay, Sudbury ON</t>
  </si>
  <si>
    <t>CIO &amp; VP Evaluation and Knowledge Management</t>
  </si>
  <si>
    <t xml:space="preserve">Hamilton, Oakville, London, Ottawa ON - </t>
  </si>
  <si>
    <t>Travel to attend GRT meeting</t>
  </si>
  <si>
    <t>Travel to attend Women's Day Panel event and GRT meeting</t>
  </si>
  <si>
    <t xml:space="preserve">Travel to attend event on Foundation business </t>
  </si>
  <si>
    <t xml:space="preserve">Travel to attend Public Policy Forum Awards &amp; YPO event </t>
  </si>
  <si>
    <t>Travel to attend Rotary Club Panel discussion meeting</t>
  </si>
  <si>
    <t xml:space="preserve">Travel to attend OPS event with Drew Fagan </t>
  </si>
  <si>
    <t>Travel to attend OAC meeting</t>
  </si>
  <si>
    <t>Travel to attend Consultation on Charities and Public Policy meeting</t>
  </si>
  <si>
    <t>Travel to attend CCF recognition event</t>
  </si>
  <si>
    <t>Travel to attend CEO conference and PFC retreat meeting</t>
  </si>
  <si>
    <t>Travel to attend Chagnon foundation meeting</t>
  </si>
  <si>
    <t>Travel to attend meeting with BD member P.Chinyere Eni-Mclean</t>
  </si>
  <si>
    <t>Travel to attend meeting with BD chair Janet Yale</t>
  </si>
  <si>
    <t>Tim Jackson</t>
  </si>
  <si>
    <t>P.Chinyere Eni-Mclean</t>
  </si>
  <si>
    <t xml:space="preserve">Travel to attend Red Skye Performance meeting </t>
  </si>
  <si>
    <t>Oakville, ON</t>
  </si>
  <si>
    <t>North Bay, ON</t>
  </si>
  <si>
    <t>Travel to attend Trans Canada Trail Hike meeting</t>
  </si>
  <si>
    <t xml:space="preserve">Travel to attend staffing change </t>
  </si>
  <si>
    <t xml:space="preserve">Travel to attened Philanthropy Exchange meeting </t>
  </si>
  <si>
    <t xml:space="preserve">Travel to attend Coucil of information &amp; Knowledge management Conference </t>
  </si>
  <si>
    <t>Travel to attend CI workshop</t>
  </si>
  <si>
    <t>Travel to attend a sector-related workshop</t>
  </si>
  <si>
    <t>Travel to attend CRA &amp; Canadian Council conference</t>
  </si>
  <si>
    <t>Travel to attend staffing change meeting</t>
  </si>
  <si>
    <t>Travel to attend LPRF meeting</t>
  </si>
  <si>
    <t>Travel to attend Public Affairs and Publication annoucement event</t>
  </si>
  <si>
    <t>Travel to attend Francophone week conference</t>
  </si>
  <si>
    <t>Travel to attend Francophone week event</t>
  </si>
  <si>
    <t xml:space="preserve">Travel to attend MEDEI event 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</si>
  <si>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</si>
  <si>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</si>
  <si>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</si>
  <si>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</si>
  <si>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</si>
  <si>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</si>
  <si>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</si>
  <si>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>Travel to attend CI team meeting</t>
  </si>
  <si>
    <t xml:space="preserve">Travel to attend sector-related events  </t>
  </si>
  <si>
    <t>Cobourg, ON</t>
  </si>
  <si>
    <t>London, Sudbury ON</t>
  </si>
  <si>
    <t>Windsor</t>
  </si>
  <si>
    <t>Travel to attend Smart Simple conference</t>
  </si>
  <si>
    <t xml:space="preserve">Travel to attend YPO event 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</si>
  <si>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</si>
  <si>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</si>
  <si>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</si>
  <si>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</si>
  <si>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Kamala-Jean Gopie</t>
  </si>
  <si>
    <t>Travel to attend OTF announcement mtg</t>
  </si>
  <si>
    <t>Travel to attend Stakeholder meeting</t>
  </si>
  <si>
    <t>Penetanguishene, ON</t>
  </si>
  <si>
    <t>Travel to attend Hudson Technology meeting</t>
  </si>
  <si>
    <t>Travel to attend Vital Sign Advisory Group meeting</t>
  </si>
  <si>
    <t>Travel to attend UTSG conference</t>
  </si>
  <si>
    <t>Travel to attend Open Data planning meeting</t>
  </si>
  <si>
    <t>Travel to attend foundation house meeting</t>
  </si>
  <si>
    <t>Travel to attened Social Enterprise Event</t>
  </si>
  <si>
    <t>Travel to attend sector-related event</t>
  </si>
  <si>
    <t xml:space="preserve">Travel to attend Collective Impact Stakeholder Event </t>
  </si>
  <si>
    <t>Travel to attend Empire Club Panel meeting</t>
  </si>
  <si>
    <t>Ina Gutium</t>
  </si>
  <si>
    <t>P. Chinyere Eni-McLean</t>
  </si>
  <si>
    <t>Dan Wilson</t>
  </si>
  <si>
    <t>Director, Policy, Planning and Special Projects</t>
  </si>
  <si>
    <t>Abdullah Snobar</t>
  </si>
  <si>
    <t>Travel to attend TAG conference</t>
  </si>
  <si>
    <t>Florida, USA</t>
  </si>
  <si>
    <t>Markham, ON</t>
  </si>
  <si>
    <t>COO</t>
  </si>
  <si>
    <t>Bailieboro, ON</t>
  </si>
  <si>
    <t>Event with Ontario Museum Association - Strategic Plan launch</t>
  </si>
  <si>
    <t>interview at CBC</t>
  </si>
  <si>
    <t>North Bay</t>
  </si>
  <si>
    <t xml:space="preserve">Travel to attend event with stakeholders </t>
  </si>
  <si>
    <t>Bereau du quebec a toronto</t>
  </si>
  <si>
    <t>Pride Business - Reception</t>
  </si>
  <si>
    <t>Sudbury</t>
  </si>
  <si>
    <t>Beth Puddicombe</t>
  </si>
  <si>
    <t>Chief Talent Officer</t>
  </si>
  <si>
    <t>Provincial Partnership table</t>
  </si>
  <si>
    <t>Public Grant Announcement</t>
  </si>
  <si>
    <t>Flesherton, ON</t>
  </si>
  <si>
    <t>Don River Valley Park event</t>
  </si>
  <si>
    <t>JHR Night for Rights event</t>
  </si>
  <si>
    <t>PFC Conference</t>
  </si>
  <si>
    <t>MCYS CI Event</t>
  </si>
  <si>
    <t>SLT retreat</t>
  </si>
  <si>
    <t>Women's Networking meeting</t>
  </si>
  <si>
    <t>Brampton, ON</t>
  </si>
  <si>
    <t>Kamala Jean Gopie</t>
  </si>
  <si>
    <t>Board member</t>
  </si>
  <si>
    <t>Chief of Staff</t>
  </si>
  <si>
    <t>Chief Operating Officer</t>
  </si>
  <si>
    <t>Banquet et au collogue event</t>
  </si>
  <si>
    <t>Travel to attend sector-related events</t>
  </si>
  <si>
    <t>AFO Annual Congress</t>
  </si>
  <si>
    <t>Elora, Woodstock ON</t>
  </si>
  <si>
    <t>Travel to attend granting meetings</t>
  </si>
  <si>
    <t>Tracey Elop</t>
  </si>
  <si>
    <t>VP, Administration</t>
  </si>
  <si>
    <t>WNX award dinner</t>
  </si>
  <si>
    <t>travel to recognition event</t>
  </si>
  <si>
    <t>VP, Partnerships and Knowledge</t>
  </si>
  <si>
    <t>Washington, DC, Ottawa ON</t>
  </si>
  <si>
    <t>CI Action and Learning Lab / Philanthrothink Conf.</t>
  </si>
  <si>
    <t>Mtg.-Nov28,2016 - Social Innovation Ctr.- taxi</t>
  </si>
  <si>
    <t>SL Mtg. - Dec05,2016 - Ontario Investment &amp; Trading Ctr. - parking</t>
  </si>
  <si>
    <t>Leadership Mtg. - Dec07,2016 - Hart House - parking</t>
  </si>
  <si>
    <t>38th Annual Business for the Art Awards Gala - taxi</t>
  </si>
  <si>
    <t>Buca Yorkville - public lunch - Sharon Avery - Toronto Foundation</t>
  </si>
  <si>
    <t>Public Policy Forum - parking</t>
  </si>
  <si>
    <t>LT Retreat  - LAIS Hotel - Jan16,2017 accom</t>
  </si>
  <si>
    <t>WXN Gala - parking</t>
  </si>
  <si>
    <t>Imagine Canada Conf.- AC Toronto/Ottawa</t>
  </si>
  <si>
    <t>Board of Chair - Queen's Park - taxi</t>
  </si>
  <si>
    <t>14th Annual foundation endowment (Summit )- taxi</t>
  </si>
  <si>
    <t>Toronto Region Board of Trade Gala - parking</t>
  </si>
  <si>
    <t>ASM - parking</t>
  </si>
  <si>
    <t>Board Mtg.- Sudbury - taxi</t>
  </si>
  <si>
    <t>Jeffrey Cyr</t>
  </si>
  <si>
    <t>Cameron Clark</t>
  </si>
  <si>
    <t>Porter : Ottawa/TO - Governance Training - flight</t>
  </si>
  <si>
    <t>Porter : Thunder Bay/TO (round) - OTF Board Mtg. - flight</t>
  </si>
  <si>
    <t>Reynolds Mastin</t>
  </si>
  <si>
    <t>Porter: TO/Sudbury - OTF BD Mtg. - flight</t>
  </si>
  <si>
    <t>Air Canada: Ottawa/TO (round) - OTF BD Mtg.</t>
  </si>
  <si>
    <t>Porter: Ottawa/TO - OTF BD Mtg.- flight</t>
  </si>
  <si>
    <t>Courtyard Marriott - BOD Mtg. - accom</t>
  </si>
  <si>
    <t xml:space="preserve">Co-Op Cab - Volunteer Fundraiser Award at MTCC </t>
  </si>
  <si>
    <t>Beck Taxi - MTCC</t>
  </si>
  <si>
    <t>IPC Privacy Day Event (Govt &amp; Big Data) - parking</t>
  </si>
  <si>
    <t>Air Canada : TO/SanFrancisco (round) - Conf. - flight</t>
  </si>
  <si>
    <t>Mtg. with D.Gore &amp; D Dunsky (collective Impact).- taxi</t>
  </si>
  <si>
    <t>Jury duty - taxi</t>
  </si>
  <si>
    <t>Boston Park Plaza Hotel - Conf. - accom</t>
  </si>
  <si>
    <t>Porter: TO/Ottawa (round) - Social R&amp;D Mtg. - flight</t>
  </si>
  <si>
    <t>Porter: TO/Ottawa (round) - flight</t>
  </si>
  <si>
    <t>TO Board &amp; MMP reception - taxi</t>
  </si>
  <si>
    <t>Public Policy Forum - taxi</t>
  </si>
  <si>
    <t>SLT Retreat - taxi</t>
  </si>
  <si>
    <t>HP Meeting</t>
  </si>
  <si>
    <t>GRT Meeting - meals</t>
  </si>
  <si>
    <t>HR Mtgs - taxi/rail</t>
  </si>
  <si>
    <t>Leadership Forum - taxi</t>
  </si>
  <si>
    <t>GRT Mtgs - taxi</t>
  </si>
  <si>
    <t>GRT Mtgs.- taxi</t>
  </si>
  <si>
    <t>GRT Mtgs. - HP - UP Express &amp; taxi</t>
  </si>
  <si>
    <t>GRT Mtgs.- EKL -meal</t>
  </si>
  <si>
    <t>WXN Gala - taxi</t>
  </si>
  <si>
    <t>Rail - TO/KINGSTON (round)  - GRT Mtg.</t>
  </si>
  <si>
    <t>Rail - TO/LONDON (round)  - GRT Mtg.</t>
  </si>
  <si>
    <t>GRT Hamilton Mtg - train</t>
  </si>
  <si>
    <t>Porter : TO/BOSTON (round) - CI Forum - air</t>
  </si>
  <si>
    <t>ASM &amp; CI - taxi</t>
  </si>
  <si>
    <t>Mohawk Institute Residential School</t>
  </si>
  <si>
    <t>ICD's speaker's panel / EY entrepreneur of the Year</t>
  </si>
  <si>
    <t>Mississauga &amp; Toronto,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</si>
  <si>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</si>
  <si>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</si>
  <si>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</si>
  <si>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</si>
  <si>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</si>
  <si>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</si>
  <si>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Dine around</t>
  </si>
  <si>
    <t>Travel to attend off-site meeting</t>
  </si>
  <si>
    <t xml:space="preserve">GRT Mtgs. - Windsor, GR &amp; WWD - </t>
  </si>
  <si>
    <t xml:space="preserve"> Governance Training</t>
  </si>
  <si>
    <t>Travel to attend governance training</t>
  </si>
  <si>
    <t>meeting with stakeholders</t>
  </si>
  <si>
    <t xml:space="preserve">Travel to attend meeting with stakeholders </t>
  </si>
  <si>
    <t>grant announcement</t>
  </si>
  <si>
    <t>HP GRT meeting</t>
  </si>
  <si>
    <t>DHKPR GRT meeting</t>
  </si>
  <si>
    <t>Niagara GRT</t>
  </si>
  <si>
    <t>SY GRT</t>
  </si>
  <si>
    <t>VP, Talent &amp; Corporate Services</t>
  </si>
  <si>
    <t>Ben McNamee</t>
  </si>
  <si>
    <t>working lunch with Ben</t>
  </si>
  <si>
    <t>Boston, MA</t>
  </si>
  <si>
    <t>Baileboro, ON</t>
  </si>
  <si>
    <t>Etobicoke, ON</t>
  </si>
  <si>
    <t>San Francisco, CA</t>
  </si>
  <si>
    <t>Windsor, Bradford, Kitchener, ON</t>
  </si>
  <si>
    <t>Porter: TO/Chicago/NewOrleans (round) -flight</t>
  </si>
  <si>
    <t>Alton, ON</t>
  </si>
  <si>
    <t>GRT Ottawa Mtg - taxi</t>
  </si>
  <si>
    <t>GRT Mtgs. - Ottawa - taxi</t>
  </si>
  <si>
    <t>Washington, DC, Ottawa, ON</t>
  </si>
  <si>
    <t>New Orleans, LA</t>
  </si>
  <si>
    <t>Courtyard Marriott - BOD Mtg. - accom /mileage</t>
  </si>
  <si>
    <t>Travel to attend a sector-related events</t>
  </si>
  <si>
    <t>Cocktail reception - parking, DMZ holiday party</t>
  </si>
  <si>
    <t>Anne Tennier</t>
  </si>
  <si>
    <t>Claude Dalliare</t>
  </si>
  <si>
    <t>Daniella McIntosh</t>
  </si>
  <si>
    <t>David Murray</t>
  </si>
  <si>
    <t>Diane Dubois</t>
  </si>
  <si>
    <t>Don DeGenova</t>
  </si>
  <si>
    <t>Eric Mitchinon</t>
  </si>
  <si>
    <t>John Stafford</t>
  </si>
  <si>
    <t>Lesley Bell</t>
  </si>
  <si>
    <t>Manfred Fast</t>
  </si>
  <si>
    <t>Maureen Lynch</t>
  </si>
  <si>
    <t>Natasha Lovenuk-Markham</t>
  </si>
  <si>
    <t>Rita Demetzer</t>
  </si>
  <si>
    <t>Romana Siegel</t>
  </si>
  <si>
    <t>Shirley Van Steen</t>
  </si>
  <si>
    <t>Tracey Roberston</t>
  </si>
  <si>
    <t>Winston Uytenbogarrt</t>
  </si>
  <si>
    <t>Nicole Adan</t>
  </si>
  <si>
    <t>Arti Feeman</t>
  </si>
  <si>
    <t>Travel to attend Volunteer Conference</t>
  </si>
  <si>
    <t>Farah Shams</t>
  </si>
  <si>
    <t>Nancy Primak</t>
  </si>
  <si>
    <t>Tina Montgomery</t>
  </si>
  <si>
    <t>Shauna Kechego-Nichols</t>
  </si>
  <si>
    <t>Port Stanley, St.Thomas, ON</t>
  </si>
  <si>
    <t>Guelph, ON</t>
  </si>
  <si>
    <t>GRT meeting</t>
  </si>
  <si>
    <t>Ottawa, Kingston, ON</t>
  </si>
  <si>
    <t>Montreal, PQ</t>
  </si>
  <si>
    <t>Travel to attend board mtg - CEO Hiring committee</t>
  </si>
  <si>
    <t>CEO recruitment</t>
  </si>
  <si>
    <t>public policy forum mtg</t>
  </si>
  <si>
    <t>BOD mtg</t>
  </si>
  <si>
    <t xml:space="preserve">Ina Gutium </t>
  </si>
  <si>
    <t>VP, Talent and Corporate Services</t>
  </si>
  <si>
    <t>Karmala-Jean Gopie</t>
  </si>
  <si>
    <t>Chinyere Eni-Mclean</t>
  </si>
  <si>
    <t>Wendy Dempsey</t>
  </si>
  <si>
    <t>Trudi Collins</t>
  </si>
  <si>
    <t>Benny Min</t>
  </si>
  <si>
    <t>Thunder Bay/Ottawa, ON</t>
  </si>
  <si>
    <t>Stratford</t>
  </si>
  <si>
    <t>Community Hub Summit</t>
  </si>
  <si>
    <t>Canadian Business Hall of Fame Companion Reception</t>
  </si>
  <si>
    <t>Community Investments Day</t>
  </si>
  <si>
    <t>San Francisco Conference</t>
  </si>
  <si>
    <t>Winnipeg</t>
  </si>
  <si>
    <t>All my Relations Conf</t>
  </si>
  <si>
    <t>Reconciliation Evaluation mtg</t>
  </si>
  <si>
    <t>GEO Fellowship Conference</t>
  </si>
  <si>
    <t>Seattle</t>
  </si>
  <si>
    <t>Orangeville Kingston</t>
  </si>
  <si>
    <t>BOD Mtg. planning</t>
  </si>
  <si>
    <t>Hamilton, Grand River, Chatham,London, Chatham, St. Catherines, ON</t>
  </si>
  <si>
    <t xml:space="preserve">BOD mtg </t>
  </si>
  <si>
    <t>CFC conferene</t>
  </si>
  <si>
    <t xml:space="preserve">CEP conference </t>
  </si>
  <si>
    <t>Board Vice Chair</t>
  </si>
  <si>
    <t>Community Indicators Conference</t>
  </si>
  <si>
    <t>grant announcement - YOF</t>
  </si>
  <si>
    <t>GRT meetings</t>
  </si>
  <si>
    <t xml:space="preserve">GRT meetings </t>
  </si>
  <si>
    <t xml:space="preserve">GRT meeting - ACMS </t>
  </si>
  <si>
    <t xml:space="preserve">GRT meeting </t>
  </si>
  <si>
    <t xml:space="preserve">HUB summit </t>
  </si>
  <si>
    <t>Ottawa/TO - BOD Mtg.</t>
  </si>
  <si>
    <t>Ottawa Conference</t>
  </si>
  <si>
    <t xml:space="preserve">Social R&amp;D Mtg. </t>
  </si>
  <si>
    <t>Theory of Change mtg</t>
  </si>
  <si>
    <t xml:space="preserve">Collective Impact Forum Conference </t>
  </si>
  <si>
    <t>Montreal Conference</t>
  </si>
  <si>
    <t>Professional development</t>
  </si>
  <si>
    <t>Katharine Bambrick</t>
  </si>
  <si>
    <t>Travel to attend CEO Recruitment</t>
  </si>
  <si>
    <t>Travel to attend leadership program</t>
  </si>
  <si>
    <t>Travel to attend PFC Mtg.</t>
  </si>
  <si>
    <t>Travel to attend AFO conference</t>
  </si>
  <si>
    <t>Travel to attend community reception</t>
  </si>
  <si>
    <t>Travel to attend meeting with Sheila Goldgrab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</si>
  <si>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</si>
  <si>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</si>
  <si>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</si>
  <si>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</si>
  <si>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</si>
  <si>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</si>
  <si>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</si>
  <si>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Seattle, WA</t>
  </si>
  <si>
    <t>9-29-20173</t>
  </si>
  <si>
    <t xml:space="preserve">Travel to attend sector related event </t>
  </si>
  <si>
    <t xml:space="preserve">To attend GEO Change Leaders in Philanthropy  Conference </t>
  </si>
  <si>
    <t>To attend GRT meeting - Ottawa</t>
  </si>
  <si>
    <t>To attend GRT meeting - Sudbury</t>
  </si>
  <si>
    <t>To attend GRT meeting - Thunder Bay</t>
  </si>
  <si>
    <t>VP, Partnerships &amp; Knowledge</t>
  </si>
  <si>
    <t>Travel to attend GRT Meeting - Thunder Bay</t>
  </si>
  <si>
    <t>Travel to attend GRT Meeting - North Bay</t>
  </si>
  <si>
    <t>Travel to attend GRT Meeting - Sudbury</t>
  </si>
  <si>
    <t>Travel to attend ACMS GRT Meeting - Sudbury</t>
  </si>
  <si>
    <t>Travel to attend event on Minister of Seniors Affairs</t>
  </si>
  <si>
    <t>Collen Mulholland</t>
  </si>
  <si>
    <t>Travel to attend Staff meeting</t>
  </si>
  <si>
    <t>Travel to attend Council of Chairs</t>
  </si>
  <si>
    <t>Travel to attend lunch meeting with Andrea Barrack</t>
  </si>
  <si>
    <t>Travel to attend Canadian Social Innovation Exchg.-SPARK Conf.</t>
  </si>
  <si>
    <t xml:space="preserve">Travel to attend CFC annual Mtg.at Uof T </t>
  </si>
  <si>
    <t>Travel to attend DHKPR GRT Mtg.- Haliburton</t>
  </si>
  <si>
    <t>Haliburton, ON</t>
  </si>
  <si>
    <t>Travel to attend EKL GRT Mtg.- Windsor</t>
  </si>
  <si>
    <t>Travel to attend GEO Conference</t>
  </si>
  <si>
    <t>Pittsburgh, PA, US</t>
  </si>
  <si>
    <t>To attend GRT meeting - Halton Peel</t>
  </si>
  <si>
    <t>Halton Peel, ON</t>
  </si>
  <si>
    <t>To attend GRT meeting - Hamilton</t>
  </si>
  <si>
    <t>Travel to attend Evaluation Round Table meeting</t>
  </si>
  <si>
    <t xml:space="preserve">IRAFF Meeting </t>
  </si>
  <si>
    <t>Travel to attend  Champlain Staff meeting</t>
  </si>
  <si>
    <t>To attend meeting with BOD Tracy Elop</t>
  </si>
  <si>
    <t>To attend meeting with Premier Kathleen Wynne</t>
  </si>
  <si>
    <t>To attend MNPST GRT meeting - North Bay</t>
  </si>
  <si>
    <t>To attend MNPST Northwestern mtg.-Thunder Bay</t>
  </si>
  <si>
    <t>To attend Niagara GRT Mtg.</t>
  </si>
  <si>
    <t xml:space="preserve">To attend ONN conference </t>
  </si>
  <si>
    <t>Ottawa, On</t>
  </si>
  <si>
    <t>Travel to attend PFC Symposium - Montreal</t>
  </si>
  <si>
    <t>Travel to attend PFC Mtg.- Calgary</t>
  </si>
  <si>
    <t>Travel to attend QRT GRT Mtg.- Kingston</t>
  </si>
  <si>
    <t>Retirement party for Peter Armstrong</t>
  </si>
  <si>
    <t xml:space="preserve">To attend TAG conference </t>
  </si>
  <si>
    <t>New Orleans, LA, US</t>
  </si>
  <si>
    <t>Travel to attend SY GRT Mtg.</t>
  </si>
  <si>
    <t>Simcoe York, ON</t>
  </si>
  <si>
    <t>Travel to attend WWD GRT Mtg.</t>
  </si>
  <si>
    <t>Fergus, ON</t>
  </si>
  <si>
    <t>Travel to attend Thames Valley GRT Mtg.</t>
  </si>
  <si>
    <t>Thames Valley, ON</t>
  </si>
  <si>
    <t>Travel to attend PM interviews</t>
  </si>
  <si>
    <t>Travel to attend community reception - HIPPY</t>
  </si>
  <si>
    <t>To attend The Circle on Philanthropy &amp; Aboriginal</t>
  </si>
  <si>
    <t>Travel to attend Sustainability Network 20th Anniversary</t>
  </si>
  <si>
    <t>Travel to attend event on Minister of Seniors Affairs &amp; meeting Premier Kathleen Wynne</t>
  </si>
  <si>
    <t xml:space="preserve">Travel to attend sector-related event 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</si>
  <si>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</si>
  <si>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</si>
  <si>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</si>
  <si>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</si>
  <si>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</si>
  <si>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</si>
  <si>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QKR &amp; DHKDR GRT Mtg.</t>
  </si>
  <si>
    <t>Travel to attend Kingston GRT Mtg.</t>
  </si>
  <si>
    <t>Travel to attend Peterborough Mtg.</t>
  </si>
  <si>
    <t>Travel to attend Grand River GRT Mtg.</t>
  </si>
  <si>
    <t>To attend Data Meeting</t>
  </si>
  <si>
    <t>Newmarket, ON</t>
  </si>
  <si>
    <t>All Staff Meeting</t>
  </si>
  <si>
    <t>Canada's most admired award gala</t>
  </si>
  <si>
    <t>IWF Panel &amp; Wilfrid Laurier University</t>
  </si>
  <si>
    <t>To attend recognition events with Habitat for Humanity / Minister McMahon</t>
  </si>
  <si>
    <t>To attend IN Magazine Speaking engagement</t>
  </si>
  <si>
    <t>To attend after graduation event : U of Guelph</t>
  </si>
  <si>
    <t>To attend OTF Outreach session</t>
  </si>
  <si>
    <t>To attend Champlain GRT Mtg.&amp; mtg.with Denise Amyot &amp; Jeffrey Cyr</t>
  </si>
  <si>
    <t>To attend LPRF Grantee event</t>
  </si>
  <si>
    <t>CFC SDG Conference</t>
  </si>
  <si>
    <t>Ottawa Partnership meeting</t>
  </si>
  <si>
    <t>Vancouver Partnership meeting</t>
  </si>
  <si>
    <t xml:space="preserve">To attend MNPST GRT meeting </t>
  </si>
  <si>
    <t xml:space="preserve">To attend Hamilton GRT meeting </t>
  </si>
  <si>
    <t>To attend WWD meeting</t>
  </si>
  <si>
    <t>To attend PM interviews</t>
  </si>
  <si>
    <t>To attend Grant Annoucement - Halton Families to Families</t>
  </si>
  <si>
    <t>John Judith</t>
  </si>
  <si>
    <t>Travel to attend ACMS GRT Meeting in Toronto</t>
  </si>
  <si>
    <t>Travel to attend sector-related site visit</t>
  </si>
  <si>
    <t>To attend Woodland Cultural center</t>
  </si>
  <si>
    <t>To attend Collective Impact grant announcement</t>
  </si>
  <si>
    <t>Travel to attend grant announcement</t>
  </si>
  <si>
    <t>Whitby, ON</t>
  </si>
  <si>
    <t>To attend attend consultant meeting</t>
  </si>
  <si>
    <t>Rockwood, ON</t>
  </si>
  <si>
    <t>Sault Ste Mary, ON</t>
  </si>
  <si>
    <t>Travel to attend GRT Meeting -Sault Ste Mary</t>
  </si>
  <si>
    <t xml:space="preserve">To attend Philanthropic foundation Canada-CEO retreat </t>
  </si>
  <si>
    <t>Niagara on the Lake, ON</t>
  </si>
  <si>
    <t>Travel to attend GRT Meeting -Niagara On the Lake</t>
  </si>
  <si>
    <t>Walpole Island First Nation, ON</t>
  </si>
  <si>
    <t>King City, ON</t>
  </si>
  <si>
    <t>Travel to attend EKL GRT Meeting -Windsor</t>
  </si>
  <si>
    <t>Travel to attend TV GRT Meeting -London</t>
  </si>
  <si>
    <t>Travel to attend ACMS GRT Meeting -Sudbury</t>
  </si>
  <si>
    <t>To attend meeting at University of Guelph</t>
  </si>
  <si>
    <t>Travel to attend Bersin Impact 2018</t>
  </si>
  <si>
    <t>Travel to attend PFC the Circle A/P event</t>
  </si>
  <si>
    <t>Travel to attend CICAN &amp; AFO meeting</t>
  </si>
  <si>
    <t>Travel to attend CFC SDG conference</t>
  </si>
  <si>
    <t>Vancouver, ON</t>
  </si>
  <si>
    <t>To attend LPRF event</t>
  </si>
  <si>
    <t>San Francisco, CA, USA</t>
  </si>
  <si>
    <t>Travel to attend CIBC Semimar meeting</t>
  </si>
  <si>
    <t>Travel to attend RBC Tower meeting</t>
  </si>
  <si>
    <t>Travel to attend Public Policy form meeting</t>
  </si>
  <si>
    <t xml:space="preserve">Travel to attend Change Leadership fellows Forum </t>
  </si>
  <si>
    <t>Paul Yeung</t>
  </si>
  <si>
    <t>Travel to attend Canada Incubator event</t>
  </si>
  <si>
    <t>Travel to attend Canada's Incubators event</t>
  </si>
  <si>
    <t xml:space="preserve">Travel to attend Mindful Leadership program </t>
  </si>
  <si>
    <t>Travel to attend Capacity by design thinking session</t>
  </si>
  <si>
    <t>Travel to attend Public Interest Journalism Funders meeting</t>
  </si>
  <si>
    <t>Travel to attend Luminato Festival Opening event</t>
  </si>
  <si>
    <t>Travel to attend LT meeting</t>
  </si>
  <si>
    <t xml:space="preserve">To attend NW GRT meeting </t>
  </si>
  <si>
    <t xml:space="preserve">To attend WWD GRT meeting </t>
  </si>
  <si>
    <t xml:space="preserve">To attend SY GRT meeting </t>
  </si>
  <si>
    <t>Aurora, ON</t>
  </si>
  <si>
    <t>Maxium Jean- Louis</t>
  </si>
  <si>
    <t>Travel to attend YOF GRC meeting</t>
  </si>
  <si>
    <t>Toronto</t>
  </si>
  <si>
    <t>Travel to attend BD, GRC &amp; Committee mtg</t>
  </si>
  <si>
    <t>Travel to attend Business Trip</t>
  </si>
  <si>
    <t>Travel to attend grantee recognition event</t>
  </si>
  <si>
    <t>Travel to attend  recognition event</t>
  </si>
  <si>
    <t>Bolton, ON</t>
  </si>
  <si>
    <t>Travel to attend RBC NFP panel meeting</t>
  </si>
  <si>
    <t>Travel to attend Grow and Capital public announcement with  Minister Tibollo</t>
  </si>
  <si>
    <t>Travel to attend a sector-related announcement</t>
  </si>
  <si>
    <t>Richmond Hill, ON</t>
  </si>
  <si>
    <t>Travel to attend ONN Ed Kathy Taylor meeting</t>
  </si>
  <si>
    <t>Travel to attend grantee recognition event with Minister Tibollo</t>
  </si>
  <si>
    <t>Travel to attend grantee recognition event at Sharon Temple Museum society</t>
  </si>
  <si>
    <t>Chesley, ON</t>
  </si>
  <si>
    <t>Travel to attend grantee recognition event at Community Centre- Stewardship Grey Bruce</t>
  </si>
  <si>
    <t>Travel to attend various BD and Committee mtg for fiscal 2018-2019</t>
  </si>
  <si>
    <t>To attend recognition events with Minister Jones Caledon</t>
  </si>
  <si>
    <t xml:space="preserve">Travel to attend Government Forum </t>
  </si>
  <si>
    <t>Travel to attend Rotary Club meeting</t>
  </si>
  <si>
    <t>Travel to attend CKNN conference</t>
  </si>
  <si>
    <t>Dunnville, ON</t>
  </si>
  <si>
    <t>Mary Henein Thorn</t>
  </si>
  <si>
    <t>Maureen Comuzzi</t>
  </si>
  <si>
    <t xml:space="preserve">Travel to attend Rural Economic round table speaking engagement </t>
  </si>
  <si>
    <t>Sean Haggerty</t>
  </si>
  <si>
    <t>Colleen Mulholland</t>
  </si>
  <si>
    <t>Rod Jackson</t>
  </si>
  <si>
    <t>Travel to attend NW GRT Meeting -Thunder Bay</t>
  </si>
  <si>
    <t>Travel to attend Champlain GRT Meeting -Ottawa</t>
  </si>
  <si>
    <t>Travel to attend Halton Peel GRT Meeting - Mississauga</t>
  </si>
  <si>
    <t>Travel to attend meeting with BD director</t>
  </si>
  <si>
    <t>Travel to attend QKR GRT Meeting -Kingston</t>
  </si>
  <si>
    <t>Travel to attend WWD GRT Meeting -Waterloo</t>
  </si>
  <si>
    <t>Travel to attend SY GRT Meeting -Barrie</t>
  </si>
  <si>
    <t>Larry Malloy</t>
  </si>
  <si>
    <t>Dec 4 2019</t>
  </si>
  <si>
    <t>Dec 5 2019</t>
  </si>
  <si>
    <t>Aug 22 2019</t>
  </si>
  <si>
    <t>Susan Leuty</t>
  </si>
  <si>
    <t>Aug 25 2019</t>
  </si>
  <si>
    <t>Fred Atchison</t>
  </si>
  <si>
    <t>Ray Westgarth</t>
  </si>
  <si>
    <t>April 23 2019</t>
  </si>
  <si>
    <t>Rai King</t>
  </si>
  <si>
    <t>June 28 2019</t>
  </si>
  <si>
    <t>Norma Lamont</t>
  </si>
  <si>
    <t>John Blake</t>
  </si>
  <si>
    <t>Aug 15 2019</t>
  </si>
  <si>
    <t>June 12 2019</t>
  </si>
  <si>
    <t>May 22 2019</t>
  </si>
  <si>
    <t>Don Degenova</t>
  </si>
  <si>
    <t>Aug 20 2019</t>
  </si>
  <si>
    <t>Aug 28 2019</t>
  </si>
  <si>
    <t>Tricia Gazarek</t>
  </si>
  <si>
    <t>David Saunders</t>
  </si>
  <si>
    <t>Les Kariunas</t>
  </si>
  <si>
    <t>Aug 21 2019</t>
  </si>
  <si>
    <t>Aug 23 2019</t>
  </si>
  <si>
    <t>Colleen O'Reilly/McCabe</t>
  </si>
  <si>
    <t>Rosemary Rooke</t>
  </si>
  <si>
    <t>Stephen Burman</t>
  </si>
  <si>
    <t>Teresa Maureen Verboom</t>
  </si>
  <si>
    <t>Aug 30 2019</t>
  </si>
  <si>
    <t>Barbara Tobin</t>
  </si>
  <si>
    <t>Deborah Badmus</t>
  </si>
  <si>
    <t>J. Michae(Mike) Watt</t>
  </si>
  <si>
    <t>Louise Heslop</t>
  </si>
  <si>
    <t>Oct 20 2019</t>
  </si>
  <si>
    <t>Champlain, ON</t>
  </si>
  <si>
    <t>Quinte, Kingston, Rideau, ON</t>
  </si>
  <si>
    <t>Durham, Haliburton, Kawartha &amp; Pine Ridge, ON</t>
  </si>
  <si>
    <t>Barbara</t>
  </si>
  <si>
    <t>Waterloo, Wellington &amp; Dufferin, ON</t>
  </si>
  <si>
    <t>Dianne Lawon</t>
  </si>
  <si>
    <t>July 17 2019</t>
  </si>
  <si>
    <t>Loretta Dunn</t>
  </si>
  <si>
    <t>Rena Spevack</t>
  </si>
  <si>
    <t>John McLeod</t>
  </si>
  <si>
    <t>Judith Sonja Glass</t>
  </si>
  <si>
    <t>Sonia Buksa</t>
  </si>
  <si>
    <t>David Kentner</t>
  </si>
  <si>
    <t>Tim Mancell</t>
  </si>
  <si>
    <t>Aug 13 2019</t>
  </si>
  <si>
    <t>Sep 26 2019</t>
  </si>
  <si>
    <t>Nov 13 2019</t>
  </si>
  <si>
    <t>Grey, Bruce, Huron &amp; Perth, ON</t>
  </si>
  <si>
    <t>Helen Schultz</t>
  </si>
  <si>
    <t>May 04 2019</t>
  </si>
  <si>
    <t>Candice Jeffrey</t>
  </si>
  <si>
    <t>May 28 2019</t>
  </si>
  <si>
    <t>Rita Chappell- Arsenault</t>
  </si>
  <si>
    <t>Luice Lombardo</t>
  </si>
  <si>
    <t>Pareshkumar Jariwala</t>
  </si>
  <si>
    <t>Aug 02 2019</t>
  </si>
  <si>
    <t>Kathryn Biondi</t>
  </si>
  <si>
    <t>Peter Fleming</t>
  </si>
  <si>
    <t>Aug 19 2019</t>
  </si>
  <si>
    <t>Grand River, ON</t>
  </si>
  <si>
    <t>Essex, Kent, Lambton, ON</t>
  </si>
  <si>
    <t>Allan M. Craig</t>
  </si>
  <si>
    <t>Oct 23 2019</t>
  </si>
  <si>
    <t>June 26 2019</t>
  </si>
  <si>
    <t>Elaine Adam</t>
  </si>
  <si>
    <t>Aug 24 2019</t>
  </si>
  <si>
    <t>Robert Nowosielski</t>
  </si>
  <si>
    <t>Carmen DeMarco</t>
  </si>
  <si>
    <t>Richard J Corcelli</t>
  </si>
  <si>
    <t>Patricia Arney</t>
  </si>
  <si>
    <t>Jean Beckett</t>
  </si>
  <si>
    <t>Karel Grant</t>
  </si>
  <si>
    <t>Sylyia Thompson -Nicholson</t>
  </si>
  <si>
    <t>Sep 27 2019</t>
  </si>
  <si>
    <t>Muskoka, Nipissing, Parry Sound &amp; Timiskaming, ON</t>
  </si>
  <si>
    <t>Algoma, Cochrane, Manitoulin &amp; Sudbury, ON</t>
  </si>
  <si>
    <t>GRT Member</t>
  </si>
  <si>
    <t>Travel to attend presentation</t>
  </si>
  <si>
    <t>June 10 2019</t>
  </si>
  <si>
    <t>June 18 2019</t>
  </si>
  <si>
    <t>June 21 2019</t>
  </si>
  <si>
    <t>July 12 2019</t>
  </si>
  <si>
    <t>July 20 2019</t>
  </si>
  <si>
    <t>Travel to attend Granting meeting</t>
  </si>
  <si>
    <t>Travel to attend  Recognition Event</t>
  </si>
  <si>
    <t>Travel to attend Recognition Event</t>
  </si>
  <si>
    <t>Apr 23 2019</t>
  </si>
  <si>
    <t>June 11 2019</t>
  </si>
  <si>
    <t>Feb 26 2019</t>
  </si>
  <si>
    <t>May 23 2019</t>
  </si>
  <si>
    <t>May 24 2019</t>
  </si>
  <si>
    <t>Aug 27 2019</t>
  </si>
  <si>
    <t>Travel to present grant award</t>
  </si>
  <si>
    <t>May 11 2019</t>
  </si>
  <si>
    <t>Aug 14 2019</t>
  </si>
  <si>
    <t>May 4 2019</t>
  </si>
  <si>
    <t>June 20 2019</t>
  </si>
  <si>
    <t>Aug 10 2019</t>
  </si>
  <si>
    <t>Aug 2 2019</t>
  </si>
  <si>
    <t>May 14 2019</t>
  </si>
  <si>
    <t>June 15 2019</t>
  </si>
  <si>
    <t>Spe 27 2019</t>
  </si>
  <si>
    <t>May 31 2019</t>
  </si>
  <si>
    <t>June 19 2019</t>
  </si>
  <si>
    <t>July 11 2019</t>
  </si>
  <si>
    <t>July 15 2019</t>
  </si>
  <si>
    <t>Oct 29 2019</t>
  </si>
  <si>
    <t>Becky Holden</t>
  </si>
  <si>
    <t xml:space="preserve">Jim Pickard </t>
  </si>
  <si>
    <t>Quinte, Kingston, Rideau</t>
  </si>
  <si>
    <t>Leslie Spence</t>
  </si>
  <si>
    <t>Sylvia Thompson-Nicholson</t>
  </si>
  <si>
    <t>Tbay, ON</t>
  </si>
  <si>
    <t>Ottawa</t>
  </si>
  <si>
    <t>Kingston</t>
  </si>
  <si>
    <t>Oshawa</t>
  </si>
  <si>
    <t>Wyebridge, ON</t>
  </si>
  <si>
    <t>Jordan Station , ON</t>
  </si>
  <si>
    <t>Nom</t>
  </si>
  <si>
    <t>Poste</t>
  </si>
  <si>
    <t>But</t>
  </si>
  <si>
    <t>But (détails)</t>
  </si>
  <si>
    <t>Date de début</t>
  </si>
  <si>
    <t>Date de fin</t>
  </si>
  <si>
    <t>Participants</t>
  </si>
  <si>
    <t>Autres 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</si>
  <si>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</si>
  <si>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</si>
  <si>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</si>
  <si>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</si>
  <si>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</si>
  <si>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</si>
  <si>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</si>
  <si>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</si>
  <si>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Membre d'une ÉÉDS</t>
  </si>
  <si>
    <t>Membre du conseil d'administration</t>
  </si>
  <si>
    <t>Chef de la direction</t>
  </si>
  <si>
    <t>VP, Investissements communautaires</t>
  </si>
  <si>
    <t>VP, Partenariats et Mesure</t>
  </si>
  <si>
    <t>Déplacement pour assister à une réunion de l'ÉÉDS</t>
  </si>
  <si>
    <t>Déplacement pour assister à un événement de reconnaissance</t>
  </si>
  <si>
    <t>Déplacement pour assister à une réunion du conseil d'administration</t>
  </si>
  <si>
    <t>Déplacement pour assister à une réunion du CÉDS du FPJ</t>
  </si>
  <si>
    <t>Déplacement pour assister à une réunion d'octroi de subventions</t>
  </si>
  <si>
    <t>Déplacement pour assister à une réunion d'octroi de subventionss</t>
  </si>
  <si>
    <t xml:space="preserve">Déplacement pour assister à une réunion d'affaires de la Fondation </t>
  </si>
  <si>
    <t>Déplacement pour assister à une réunion de mentorat pour perfectionnement professionnel</t>
  </si>
  <si>
    <t>Déplacement pour assister à un cours de perfectionnement professionnel</t>
  </si>
  <si>
    <t>Déplacement pour présider une séance en personne</t>
  </si>
  <si>
    <t xml:space="preserve">Pour assister à une réunion de l'ÉÉDS du NO </t>
  </si>
  <si>
    <t xml:space="preserve">Pour assister à la  réunion de l'ÉÉDS de Grand River </t>
  </si>
  <si>
    <t>Déplacement pour assister à la  réunion de l'ÉÉDS de TV - London</t>
  </si>
  <si>
    <t>Déplacement pour assister à la  réunion de l'ÉÉDS de EKL - Windsor</t>
  </si>
  <si>
    <t>Déplacement pour assister à une réunion régionale de mentorat des membres du personnel</t>
  </si>
  <si>
    <t>Déplacement pour assister à un cours de perfectionnement professionnel sur la pleine conscience</t>
  </si>
  <si>
    <t>Déplacement pour assister à une réunion d'affaires sur les investissements en partenariat</t>
  </si>
  <si>
    <t>Nord-Ouest</t>
  </si>
  <si>
    <t>Muskoka, Nipissing, Parry Sound, Timiskaming</t>
  </si>
  <si>
    <t>Grey, Bruce, Huron, Perth</t>
  </si>
  <si>
    <t>Durham, Haliburton, Kawartha, Pine Ridge</t>
  </si>
  <si>
    <t>6 fév. 2020</t>
  </si>
  <si>
    <t>7 fév. 2020</t>
  </si>
  <si>
    <t>8 fév. 2020</t>
  </si>
  <si>
    <t>4 fév. 2020</t>
  </si>
  <si>
    <t>14 fév. 2020</t>
  </si>
  <si>
    <t>9 fév. 2020</t>
  </si>
  <si>
    <t>10 fév. 2020</t>
  </si>
  <si>
    <t>11 fév. 2020</t>
  </si>
  <si>
    <t>13 fév. 2020</t>
  </si>
  <si>
    <t>19 fév. 2020</t>
  </si>
  <si>
    <t>20 fév. 2020</t>
  </si>
  <si>
    <t>27 fév. 2020</t>
  </si>
  <si>
    <t>28 fév. 2020</t>
  </si>
  <si>
    <t>4 déc. 2019</t>
  </si>
  <si>
    <t>11 mars 2020</t>
  </si>
  <si>
    <t>18 sept. 2019</t>
  </si>
  <si>
    <t>5 juin 2019</t>
  </si>
  <si>
    <t>13 janv. 2020</t>
  </si>
  <si>
    <t>20 oct. 2019</t>
  </si>
  <si>
    <t>27 janv. 2020</t>
  </si>
  <si>
    <t>28 janv. 2020</t>
  </si>
  <si>
    <t>31 janv. 2020</t>
  </si>
  <si>
    <t>5 déc. 2019</t>
  </si>
  <si>
    <t>21 janv. 2020</t>
  </si>
  <si>
    <t>23 janv. 2020</t>
  </si>
  <si>
    <t>5 fév. 2020</t>
  </si>
  <si>
    <t>19  janv. 2020</t>
  </si>
  <si>
    <t>22 janv. 2020</t>
  </si>
  <si>
    <t>17 janv. 2020</t>
  </si>
  <si>
    <t>14 janv. 2020</t>
  </si>
  <si>
    <t>25 janv.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</si>
</sst>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_-* #,##0_-;\-* #,##0_-;_-* &quot;-&quot;??_-;_-@_-"/>
    <numFmt numFmtId="168" formatCode="0_);\(0\)"/>
    <numFmt numFmtId="169" formatCode="[$-409]d\-mmm\-yy;@"/>
    <numFmt numFmtId="170" formatCode="[$-409]dddd\,\ mmmm\ d\,\ yyyy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0" xfId="0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64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 wrapText="1"/>
    </xf>
    <xf numFmtId="164" fontId="5" fillId="2" borderId="1" xfId="1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left"/>
    </xf>
    <xf numFmtId="164" fontId="5" fillId="0" borderId="1" xfId="0" applyNumberFormat="1" applyFont="1" applyFill="1" applyBorder="1"/>
    <xf numFmtId="164" fontId="5" fillId="0" borderId="1" xfId="1" applyNumberFormat="1" applyFont="1" applyFill="1" applyBorder="1"/>
    <xf numFmtId="164" fontId="5" fillId="2" borderId="1" xfId="1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164" fontId="5" fillId="0" borderId="1" xfId="1" applyFont="1" applyFill="1" applyBorder="1"/>
    <xf numFmtId="164" fontId="5" fillId="2" borderId="1" xfId="1" applyFont="1" applyFill="1" applyBorder="1"/>
    <xf numFmtId="164" fontId="5" fillId="0" borderId="1" xfId="1" applyFont="1" applyBorder="1"/>
    <xf numFmtId="0" fontId="5" fillId="0" borderId="0" xfId="0" applyFont="1"/>
    <xf numFmtId="0" fontId="6" fillId="0" borderId="0" xfId="0" applyFont="1" applyFill="1" applyAlignment="1">
      <alignment wrapText="1"/>
    </xf>
    <xf numFmtId="164" fontId="5" fillId="0" borderId="1" xfId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horizontal="right"/>
    </xf>
    <xf numFmtId="164" fontId="5" fillId="0" borderId="1" xfId="1" applyFont="1" applyBorder="1" applyAlignment="1">
      <alignment wrapText="1"/>
    </xf>
    <xf numFmtId="166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164" fontId="5" fillId="2" borderId="1" xfId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164" fontId="5" fillId="0" borderId="1" xfId="1" applyFont="1" applyFill="1" applyBorder="1" applyAlignment="1">
      <alignment horizontal="right"/>
    </xf>
    <xf numFmtId="0" fontId="5" fillId="0" borderId="0" xfId="0" applyFont="1" applyAlignment="1"/>
    <xf numFmtId="164" fontId="5" fillId="0" borderId="1" xfId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/>
    <xf numFmtId="164" fontId="5" fillId="4" borderId="1" xfId="0" applyNumberFormat="1" applyFont="1" applyFill="1" applyBorder="1" applyAlignment="1"/>
    <xf numFmtId="0" fontId="5" fillId="0" borderId="1" xfId="0" applyFont="1" applyBorder="1" applyAlignment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/>
    <xf numFmtId="164" fontId="5" fillId="4" borderId="1" xfId="1" applyFont="1" applyFill="1" applyBorder="1"/>
    <xf numFmtId="164" fontId="5" fillId="0" borderId="0" xfId="1" applyNumberFormat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6" fontId="5" fillId="0" borderId="2" xfId="0" applyNumberFormat="1" applyFont="1" applyBorder="1" applyAlignment="1">
      <alignment horizontal="left"/>
    </xf>
    <xf numFmtId="0" fontId="5" fillId="0" borderId="2" xfId="0" applyFont="1" applyBorder="1" applyAlignment="1"/>
    <xf numFmtId="164" fontId="5" fillId="0" borderId="2" xfId="1" applyFont="1" applyBorder="1"/>
    <xf numFmtId="164" fontId="5" fillId="0" borderId="2" xfId="1" applyFont="1" applyBorder="1" applyAlignment="1">
      <alignment wrapText="1"/>
    </xf>
    <xf numFmtId="0" fontId="5" fillId="0" borderId="3" xfId="0" applyFont="1" applyBorder="1"/>
    <xf numFmtId="0" fontId="5" fillId="0" borderId="1" xfId="0" applyNumberFormat="1" applyFont="1" applyFill="1" applyBorder="1" applyAlignment="1"/>
    <xf numFmtId="164" fontId="9" fillId="0" borderId="1" xfId="0" applyNumberFormat="1" applyFont="1" applyFill="1" applyBorder="1" applyAlignment="1">
      <alignment horizontal="right" wrapText="1"/>
    </xf>
    <xf numFmtId="164" fontId="9" fillId="0" borderId="1" xfId="1" applyNumberFormat="1" applyFont="1" applyFill="1" applyBorder="1" applyAlignment="1">
      <alignment horizontal="right"/>
    </xf>
    <xf numFmtId="164" fontId="9" fillId="0" borderId="1" xfId="1" applyFont="1" applyBorder="1"/>
    <xf numFmtId="164" fontId="9" fillId="0" borderId="1" xfId="0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wrapText="1"/>
    </xf>
    <xf numFmtId="164" fontId="9" fillId="0" borderId="1" xfId="1" applyFont="1" applyFill="1" applyBorder="1"/>
    <xf numFmtId="16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165" fontId="8" fillId="3" borderId="1" xfId="2" applyFont="1" applyFill="1" applyBorder="1" applyAlignment="1">
      <alignment wrapText="1"/>
    </xf>
    <xf numFmtId="165" fontId="5" fillId="0" borderId="1" xfId="2" applyFont="1" applyFill="1" applyBorder="1" applyAlignment="1">
      <alignment horizontal="right"/>
    </xf>
    <xf numFmtId="165" fontId="5" fillId="0" borderId="1" xfId="2" applyFont="1" applyFill="1" applyBorder="1"/>
    <xf numFmtId="165" fontId="5" fillId="4" borderId="1" xfId="2" applyFont="1" applyFill="1" applyBorder="1" applyAlignment="1">
      <alignment horizontal="right"/>
    </xf>
    <xf numFmtId="165" fontId="0" fillId="0" borderId="0" xfId="2" applyFo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165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5" fontId="6" fillId="0" borderId="1" xfId="2" applyFont="1" applyFill="1" applyBorder="1" applyAlignment="1">
      <alignment horizontal="left"/>
    </xf>
    <xf numFmtId="164" fontId="6" fillId="0" borderId="1" xfId="1" applyFont="1" applyFill="1" applyBorder="1"/>
    <xf numFmtId="0" fontId="0" fillId="0" borderId="0" xfId="0" applyFill="1"/>
    <xf numFmtId="165" fontId="0" fillId="0" borderId="0" xfId="2" applyFont="1" applyFill="1"/>
    <xf numFmtId="164" fontId="5" fillId="5" borderId="1" xfId="0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5" fontId="5" fillId="5" borderId="1" xfId="2" applyFont="1" applyFill="1" applyBorder="1" applyAlignment="1">
      <alignment horizontal="right"/>
    </xf>
    <xf numFmtId="164" fontId="5" fillId="5" borderId="1" xfId="1" applyFont="1" applyFill="1" applyBorder="1"/>
    <xf numFmtId="164" fontId="5" fillId="5" borderId="1" xfId="1" applyFont="1" applyFill="1" applyBorder="1" applyAlignment="1">
      <alignment horizontal="right"/>
    </xf>
    <xf numFmtId="165" fontId="5" fillId="5" borderId="1" xfId="2" applyFont="1" applyFill="1" applyBorder="1"/>
    <xf numFmtId="16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16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165" fontId="5" fillId="4" borderId="1" xfId="2" applyFont="1" applyFill="1" applyBorder="1"/>
    <xf numFmtId="0" fontId="9" fillId="0" borderId="1" xfId="0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left"/>
    </xf>
    <xf numFmtId="165" fontId="6" fillId="0" borderId="1" xfId="2" applyFont="1" applyFill="1" applyBorder="1" applyAlignment="1">
      <alignment horizontal="right"/>
    </xf>
    <xf numFmtId="164" fontId="6" fillId="0" borderId="1" xfId="1" applyFont="1" applyFill="1" applyBorder="1" applyAlignment="1">
      <alignment wrapText="1"/>
    </xf>
    <xf numFmtId="165" fontId="6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0" borderId="0" xfId="0" applyBorder="1"/>
    <xf numFmtId="4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wrapText="1"/>
    </xf>
    <xf numFmtId="0" fontId="0" fillId="0" borderId="0" xfId="0" applyFill="1" applyBorder="1"/>
    <xf numFmtId="164" fontId="5" fillId="2" borderId="9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wrapText="1"/>
    </xf>
    <xf numFmtId="165" fontId="5" fillId="0" borderId="0" xfId="2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1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/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168" fontId="5" fillId="0" borderId="1" xfId="0" applyNumberFormat="1" applyFont="1" applyFill="1" applyBorder="1" applyAlignment="1"/>
    <xf numFmtId="164" fontId="9" fillId="0" borderId="0" xfId="0" applyNumberFormat="1" applyFont="1" applyFill="1" applyBorder="1" applyAlignment="1">
      <alignment horizontal="left"/>
    </xf>
    <xf numFmtId="0" fontId="5" fillId="0" borderId="4" xfId="0" applyFont="1" applyBorder="1"/>
    <xf numFmtId="164" fontId="5" fillId="0" borderId="1" xfId="1" applyFont="1" applyFill="1" applyBorder="1" applyAlignment="1">
      <alignment horizontal="left"/>
    </xf>
    <xf numFmtId="164" fontId="5" fillId="2" borderId="1" xfId="1" applyFont="1" applyFill="1" applyBorder="1" applyAlignment="1">
      <alignment horizontal="right"/>
    </xf>
    <xf numFmtId="164" fontId="5" fillId="0" borderId="0" xfId="0" applyNumberFormat="1" applyFont="1" applyFill="1"/>
    <xf numFmtId="44" fontId="5" fillId="0" borderId="0" xfId="0" applyNumberFormat="1" applyFont="1" applyFill="1"/>
    <xf numFmtId="164" fontId="0" fillId="0" borderId="0" xfId="0" applyNumberFormat="1"/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66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164" fontId="11" fillId="0" borderId="1" xfId="0" applyNumberFormat="1" applyFont="1" applyFill="1" applyBorder="1" applyAlignment="1"/>
    <xf numFmtId="0" fontId="11" fillId="0" borderId="1" xfId="0" applyNumberFormat="1" applyFont="1" applyFill="1" applyBorder="1" applyAlignment="1"/>
    <xf numFmtId="164" fontId="11" fillId="0" borderId="1" xfId="1" applyFont="1" applyFill="1" applyBorder="1" applyAlignment="1">
      <alignment horizontal="right"/>
    </xf>
    <xf numFmtId="164" fontId="11" fillId="0" borderId="1" xfId="1" applyFont="1" applyFill="1" applyBorder="1" applyAlignment="1">
      <alignment horizontal="left"/>
    </xf>
    <xf numFmtId="164" fontId="11" fillId="2" borderId="1" xfId="1" applyFont="1" applyFill="1" applyBorder="1" applyAlignment="1">
      <alignment horizontal="right"/>
    </xf>
    <xf numFmtId="0" fontId="11" fillId="0" borderId="0" xfId="0" applyFont="1"/>
    <xf numFmtId="0" fontId="11" fillId="0" borderId="1" xfId="0" applyFont="1" applyBorder="1"/>
    <xf numFmtId="164" fontId="11" fillId="0" borderId="1" xfId="1" applyFont="1" applyBorder="1"/>
    <xf numFmtId="164" fontId="11" fillId="0" borderId="1" xfId="1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/>
    <xf numFmtId="166" fontId="13" fillId="3" borderId="1" xfId="0" applyNumberFormat="1" applyFont="1" applyFill="1" applyBorder="1" applyAlignment="1">
      <alignment wrapText="1"/>
    </xf>
    <xf numFmtId="165" fontId="13" fillId="3" borderId="1" xfId="2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14" fontId="13" fillId="3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 applyAlignment="1">
      <alignment wrapText="1"/>
    </xf>
    <xf numFmtId="165" fontId="11" fillId="0" borderId="1" xfId="2" applyFont="1" applyFill="1" applyBorder="1" applyAlignment="1">
      <alignment horizontal="right"/>
    </xf>
    <xf numFmtId="164" fontId="11" fillId="0" borderId="1" xfId="0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right"/>
    </xf>
    <xf numFmtId="164" fontId="11" fillId="0" borderId="9" xfId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14" fontId="11" fillId="0" borderId="0" xfId="0" applyNumberFormat="1" applyFont="1" applyAlignment="1">
      <alignment horizontal="center"/>
    </xf>
    <xf numFmtId="14" fontId="5" fillId="0" borderId="2" xfId="0" applyNumberFormat="1" applyFont="1" applyBorder="1" applyAlignment="1">
      <alignment wrapText="1"/>
    </xf>
    <xf numFmtId="169" fontId="13" fillId="3" borderId="1" xfId="0" applyNumberFormat="1" applyFont="1" applyFill="1" applyBorder="1" applyAlignment="1">
      <alignment horizontal="center" wrapText="1"/>
    </xf>
    <xf numFmtId="169" fontId="0" fillId="0" borderId="0" xfId="0" applyNumberFormat="1"/>
    <xf numFmtId="169" fontId="11" fillId="0" borderId="0" xfId="0" applyNumberFormat="1" applyFont="1"/>
    <xf numFmtId="169" fontId="0" fillId="0" borderId="1" xfId="0" applyNumberFormat="1" applyFont="1" applyBorder="1"/>
    <xf numFmtId="0" fontId="0" fillId="0" borderId="1" xfId="0" applyFont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16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164" fontId="0" fillId="2" borderId="1" xfId="1" applyFont="1" applyFill="1" applyBorder="1" applyAlignment="1">
      <alignment horizontal="right"/>
    </xf>
    <xf numFmtId="164" fontId="0" fillId="0" borderId="1" xfId="0" applyNumberFormat="1" applyFont="1" applyBorder="1"/>
    <xf numFmtId="0" fontId="14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164" fontId="0" fillId="0" borderId="1" xfId="0" applyNumberFormat="1" applyFont="1" applyFill="1" applyBorder="1"/>
    <xf numFmtId="169" fontId="11" fillId="0" borderId="1" xfId="0" applyNumberFormat="1" applyFont="1" applyFill="1" applyBorder="1" applyAlignment="1">
      <alignment horizontal="center"/>
    </xf>
    <xf numFmtId="164" fontId="11" fillId="0" borderId="0" xfId="0" applyNumberFormat="1" applyFont="1" applyFill="1" applyAlignment="1">
      <alignment horizontal="left"/>
    </xf>
    <xf numFmtId="169" fontId="11" fillId="0" borderId="1" xfId="0" applyNumberFormat="1" applyFont="1" applyBorder="1"/>
    <xf numFmtId="164" fontId="11" fillId="2" borderId="1" xfId="0" applyNumberFormat="1" applyFont="1" applyFill="1" applyBorder="1"/>
    <xf numFmtId="169" fontId="11" fillId="0" borderId="1" xfId="0" applyNumberFormat="1" applyFont="1" applyFill="1" applyBorder="1"/>
    <xf numFmtId="0" fontId="0" fillId="0" borderId="1" xfId="0" applyBorder="1"/>
    <xf numFmtId="16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" fontId="0" fillId="0" borderId="1" xfId="0" applyNumberFormat="1" applyFont="1" applyBorder="1"/>
    <xf numFmtId="0" fontId="0" fillId="0" borderId="1" xfId="0" applyFill="1" applyBorder="1"/>
    <xf numFmtId="169" fontId="4" fillId="3" borderId="1" xfId="0" applyNumberFormat="1" applyFont="1" applyFill="1" applyBorder="1" applyAlignment="1">
      <alignment horizontal="center" wrapText="1"/>
    </xf>
    <xf numFmtId="165" fontId="4" fillId="3" borderId="1" xfId="2" applyFont="1" applyFill="1" applyBorder="1" applyAlignment="1">
      <alignment wrapText="1"/>
    </xf>
    <xf numFmtId="0" fontId="0" fillId="0" borderId="0" xfId="0" applyFont="1"/>
    <xf numFmtId="0" fontId="10" fillId="0" borderId="1" xfId="0" applyFont="1" applyBorder="1"/>
    <xf numFmtId="0" fontId="0" fillId="2" borderId="1" xfId="0" applyFont="1" applyFill="1" applyBorder="1"/>
    <xf numFmtId="0" fontId="0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0" xfId="0" applyFont="1"/>
    <xf numFmtId="0" fontId="0" fillId="8" borderId="1" xfId="0" applyFont="1" applyFill="1" applyBorder="1"/>
    <xf numFmtId="0" fontId="0" fillId="8" borderId="0" xfId="0" applyFont="1" applyFill="1"/>
    <xf numFmtId="170" fontId="0" fillId="0" borderId="1" xfId="0" applyNumberFormat="1" applyFont="1" applyBorder="1"/>
    <xf numFmtId="170" fontId="0" fillId="0" borderId="1" xfId="0" applyNumberFormat="1" applyFont="1" applyFill="1" applyBorder="1"/>
    <xf numFmtId="170" fontId="0" fillId="8" borderId="1" xfId="0" applyNumberFormat="1" applyFont="1" applyFill="1" applyBorder="1"/>
    <xf numFmtId="0" fontId="0" fillId="0" borderId="0" xfId="0" applyFont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opLeftCell="A28" workbookViewId="0">
      <selection activeCell="A39" sqref="A39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>
        <v>25</v>
      </c>
      <c r="L2" s="48">
        <v>132.43</v>
      </c>
      <c r="M2" s="48"/>
      <c r="N2" s="48"/>
      <c r="O2" s="47">
        <f t="shared" ref="O2:O7" si="0">SUM(J2:N2)</f>
        <v>157.43</v>
      </c>
      <c r="P2" s="48"/>
      <c r="Q2" s="48"/>
      <c r="R2" s="47">
        <f>SUM(O2:P2:Q2)</f>
        <v>157.43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>
        <v>12.75</v>
      </c>
      <c r="L3" s="48">
        <v>132.43</v>
      </c>
      <c r="M3" s="48"/>
      <c r="N3" s="48"/>
      <c r="O3" s="47">
        <f t="shared" si="0"/>
        <v>145.18</v>
      </c>
      <c r="P3" s="48"/>
      <c r="Q3" s="48"/>
      <c r="R3" s="47">
        <f>SUM(O3:P3:Q3)</f>
        <v>145.18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9" customFormat="1" ht="12" x14ac:dyDescent="0.2">
      <c r="A8" s="7" t="s">
        <v>30</v>
      </c>
      <c r="B8" s="8" t="s">
        <v>25</v>
      </c>
      <c r="C8" s="8" t="s">
        <v>64</v>
      </c>
      <c r="D8" s="20"/>
      <c r="E8" s="55">
        <v>42038</v>
      </c>
      <c r="F8" s="55">
        <v>42039</v>
      </c>
      <c r="G8" s="13" t="s">
        <v>18</v>
      </c>
      <c r="H8" s="7"/>
      <c r="I8" s="7"/>
      <c r="J8" s="46"/>
      <c r="K8" s="46">
        <v>29</v>
      </c>
      <c r="L8" s="46">
        <v>107.79</v>
      </c>
      <c r="M8" s="46"/>
      <c r="N8" s="46"/>
      <c r="O8" s="47">
        <f>SUM(J8:N8)</f>
        <v>136.79000000000002</v>
      </c>
      <c r="P8" s="46"/>
      <c r="Q8" s="46"/>
      <c r="R8" s="47">
        <f>SUM(O8:P8:Q8)</f>
        <v>136.79000000000002</v>
      </c>
    </row>
    <row r="9" spans="1:18" s="9" customFormat="1" ht="12" x14ac:dyDescent="0.2">
      <c r="A9" s="7" t="s">
        <v>27</v>
      </c>
      <c r="B9" s="8" t="s">
        <v>37</v>
      </c>
      <c r="C9" s="8" t="s">
        <v>64</v>
      </c>
      <c r="D9" s="20"/>
      <c r="E9" s="55">
        <v>42038</v>
      </c>
      <c r="F9" s="55">
        <v>42039</v>
      </c>
      <c r="G9" s="13" t="s">
        <v>18</v>
      </c>
      <c r="H9" s="7"/>
      <c r="I9" s="7"/>
      <c r="J9" s="7"/>
      <c r="K9" s="7"/>
      <c r="L9" s="46">
        <v>133.44999999999999</v>
      </c>
      <c r="M9" s="7"/>
      <c r="N9" s="7"/>
      <c r="O9" s="47">
        <f>SUM(J9:N9)</f>
        <v>133.44999999999999</v>
      </c>
      <c r="P9" s="7"/>
      <c r="Q9" s="7"/>
      <c r="R9" s="47">
        <f>SUM(O9:P9:Q9)</f>
        <v>133.44999999999999</v>
      </c>
    </row>
    <row r="10" spans="1:18" s="63" customFormat="1" ht="24" x14ac:dyDescent="0.2">
      <c r="A10" s="8" t="s">
        <v>20</v>
      </c>
      <c r="B10" s="8" t="s">
        <v>21</v>
      </c>
      <c r="C10" s="14" t="s">
        <v>52</v>
      </c>
      <c r="D10" s="8" t="s">
        <v>79</v>
      </c>
      <c r="E10" s="62">
        <v>42038</v>
      </c>
      <c r="F10" s="62">
        <v>42038</v>
      </c>
      <c r="G10" s="13" t="s">
        <v>18</v>
      </c>
      <c r="H10" s="8"/>
      <c r="I10" s="8"/>
      <c r="J10" s="8"/>
      <c r="K10" s="51">
        <v>25</v>
      </c>
      <c r="L10" s="8"/>
      <c r="M10" s="8"/>
      <c r="N10" s="8"/>
      <c r="O10" s="61">
        <f>SUM(J10:N10)</f>
        <v>25</v>
      </c>
      <c r="P10" s="8"/>
      <c r="Q10" s="8"/>
      <c r="R10" s="61">
        <f t="shared" ref="R10:R22" si="1">SUM(O10:Q10)</f>
        <v>25</v>
      </c>
    </row>
    <row r="11" spans="1:18" s="9" customFormat="1" ht="36" x14ac:dyDescent="0.2">
      <c r="A11" s="7" t="s">
        <v>20</v>
      </c>
      <c r="B11" s="8" t="s">
        <v>21</v>
      </c>
      <c r="C11" s="14" t="s">
        <v>52</v>
      </c>
      <c r="D11" s="64" t="s">
        <v>77</v>
      </c>
      <c r="E11" s="55">
        <v>42039</v>
      </c>
      <c r="F11" s="55">
        <v>42041</v>
      </c>
      <c r="G11" s="13" t="s">
        <v>24</v>
      </c>
      <c r="H11" s="7"/>
      <c r="I11" s="7"/>
      <c r="J11" s="46">
        <v>438.59</v>
      </c>
      <c r="K11" s="51">
        <v>214.16</v>
      </c>
      <c r="L11" s="46">
        <v>261.20999999999998</v>
      </c>
      <c r="M11" s="7">
        <v>33.81</v>
      </c>
      <c r="N11" s="7"/>
      <c r="O11" s="47">
        <f>SUM(J11:N11)</f>
        <v>947.77</v>
      </c>
      <c r="P11" s="7"/>
      <c r="Q11" s="7"/>
      <c r="R11" s="47">
        <f>SUM(O11:Q11)</f>
        <v>947.77</v>
      </c>
    </row>
    <row r="12" spans="1:18" s="9" customFormat="1" ht="12" x14ac:dyDescent="0.2">
      <c r="A12" s="7" t="s">
        <v>20</v>
      </c>
      <c r="B12" s="8" t="s">
        <v>21</v>
      </c>
      <c r="C12" s="8" t="s">
        <v>65</v>
      </c>
      <c r="D12" s="8"/>
      <c r="E12" s="55">
        <v>42018</v>
      </c>
      <c r="F12" s="55">
        <v>42018</v>
      </c>
      <c r="G12" s="13" t="s">
        <v>18</v>
      </c>
      <c r="H12" s="7"/>
      <c r="I12" s="7"/>
      <c r="J12" s="7"/>
      <c r="K12" s="51">
        <v>15</v>
      </c>
      <c r="L12" s="7"/>
      <c r="M12" s="7"/>
      <c r="N12" s="7"/>
      <c r="O12" s="47">
        <f t="shared" ref="O12:O22" si="2">SUM(J12:N12)</f>
        <v>15</v>
      </c>
      <c r="P12" s="7"/>
      <c r="Q12" s="7"/>
      <c r="R12" s="47">
        <f t="shared" si="1"/>
        <v>15</v>
      </c>
    </row>
    <row r="13" spans="1:18" s="9" customFormat="1" ht="36" x14ac:dyDescent="0.2">
      <c r="A13" s="7" t="s">
        <v>20</v>
      </c>
      <c r="B13" s="8" t="s">
        <v>21</v>
      </c>
      <c r="C13" s="8" t="s">
        <v>66</v>
      </c>
      <c r="D13" s="50" t="s">
        <v>80</v>
      </c>
      <c r="E13" s="55">
        <v>42024</v>
      </c>
      <c r="F13" s="55">
        <v>42024</v>
      </c>
      <c r="G13" s="13" t="s">
        <v>22</v>
      </c>
      <c r="H13" s="7"/>
      <c r="I13" s="7"/>
      <c r="J13" s="7"/>
      <c r="K13" s="51">
        <v>92</v>
      </c>
      <c r="L13" s="7"/>
      <c r="M13" s="7"/>
      <c r="N13" s="7"/>
      <c r="O13" s="47">
        <f t="shared" si="2"/>
        <v>92</v>
      </c>
      <c r="P13" s="7"/>
      <c r="Q13" s="7"/>
      <c r="R13" s="47">
        <f t="shared" si="1"/>
        <v>92</v>
      </c>
    </row>
    <row r="14" spans="1:18" s="9" customFormat="1" ht="12" x14ac:dyDescent="0.2">
      <c r="A14" s="7" t="s">
        <v>20</v>
      </c>
      <c r="B14" s="8" t="s">
        <v>21</v>
      </c>
      <c r="C14" s="8" t="s">
        <v>67</v>
      </c>
      <c r="D14" s="8"/>
      <c r="E14" s="55">
        <v>42025</v>
      </c>
      <c r="F14" s="55">
        <v>42025</v>
      </c>
      <c r="G14" s="13" t="s">
        <v>18</v>
      </c>
      <c r="H14" s="7"/>
      <c r="I14" s="7"/>
      <c r="J14" s="7"/>
      <c r="K14" s="51">
        <v>15</v>
      </c>
      <c r="L14" s="7"/>
      <c r="M14" s="7"/>
      <c r="N14" s="7"/>
      <c r="O14" s="47">
        <f t="shared" si="2"/>
        <v>15</v>
      </c>
      <c r="P14" s="7"/>
      <c r="Q14" s="7"/>
      <c r="R14" s="47">
        <f t="shared" si="1"/>
        <v>15</v>
      </c>
    </row>
    <row r="15" spans="1:18" s="9" customFormat="1" ht="12" x14ac:dyDescent="0.2">
      <c r="A15" s="7" t="s">
        <v>20</v>
      </c>
      <c r="B15" s="8" t="s">
        <v>21</v>
      </c>
      <c r="C15" s="8" t="s">
        <v>68</v>
      </c>
      <c r="D15" s="8"/>
      <c r="E15" s="55">
        <v>42026</v>
      </c>
      <c r="F15" s="55">
        <v>42026</v>
      </c>
      <c r="G15" s="13" t="s">
        <v>18</v>
      </c>
      <c r="H15" s="7"/>
      <c r="I15" s="7"/>
      <c r="J15" s="7"/>
      <c r="K15" s="51">
        <v>4.5</v>
      </c>
      <c r="L15" s="7"/>
      <c r="M15" s="7"/>
      <c r="N15" s="7"/>
      <c r="O15" s="47">
        <f t="shared" si="2"/>
        <v>4.5</v>
      </c>
      <c r="P15" s="7"/>
      <c r="Q15" s="7"/>
      <c r="R15" s="47">
        <f t="shared" si="1"/>
        <v>4.5</v>
      </c>
    </row>
    <row r="16" spans="1:18" s="9" customFormat="1" ht="24" x14ac:dyDescent="0.2">
      <c r="A16" s="7" t="s">
        <v>20</v>
      </c>
      <c r="B16" s="8" t="s">
        <v>21</v>
      </c>
      <c r="C16" s="8" t="s">
        <v>64</v>
      </c>
      <c r="D16" s="8" t="s">
        <v>81</v>
      </c>
      <c r="E16" s="55">
        <v>42034</v>
      </c>
      <c r="F16" s="55">
        <v>42034</v>
      </c>
      <c r="G16" s="13" t="s">
        <v>23</v>
      </c>
      <c r="H16" s="7"/>
      <c r="I16" s="7"/>
      <c r="J16" s="7"/>
      <c r="K16" s="51">
        <v>176</v>
      </c>
      <c r="L16" s="7"/>
      <c r="M16" s="7"/>
      <c r="N16" s="7"/>
      <c r="O16" s="47">
        <f t="shared" si="2"/>
        <v>176</v>
      </c>
      <c r="P16" s="7"/>
      <c r="Q16" s="7"/>
      <c r="R16" s="47">
        <f t="shared" si="1"/>
        <v>176</v>
      </c>
    </row>
    <row r="17" spans="1:18" s="9" customFormat="1" ht="24" x14ac:dyDescent="0.2">
      <c r="A17" s="7" t="s">
        <v>20</v>
      </c>
      <c r="B17" s="8" t="s">
        <v>21</v>
      </c>
      <c r="C17" s="8" t="s">
        <v>66</v>
      </c>
      <c r="D17" s="8" t="s">
        <v>82</v>
      </c>
      <c r="E17" s="55">
        <v>42011</v>
      </c>
      <c r="F17" s="55">
        <v>42011</v>
      </c>
      <c r="G17" s="13" t="s">
        <v>18</v>
      </c>
      <c r="H17" s="7"/>
      <c r="I17" s="7"/>
      <c r="J17" s="7"/>
      <c r="K17" s="51">
        <v>8.85</v>
      </c>
      <c r="L17" s="7"/>
      <c r="M17" s="7"/>
      <c r="N17" s="7"/>
      <c r="O17" s="47">
        <f t="shared" si="2"/>
        <v>8.85</v>
      </c>
      <c r="P17" s="7"/>
      <c r="Q17" s="7"/>
      <c r="R17" s="47">
        <f t="shared" si="1"/>
        <v>8.85</v>
      </c>
    </row>
    <row r="18" spans="1:18" s="9" customFormat="1" ht="24" x14ac:dyDescent="0.2">
      <c r="A18" s="7" t="s">
        <v>20</v>
      </c>
      <c r="B18" s="8" t="s">
        <v>21</v>
      </c>
      <c r="C18" s="14" t="s">
        <v>52</v>
      </c>
      <c r="D18" s="8" t="s">
        <v>83</v>
      </c>
      <c r="E18" s="55">
        <v>42059</v>
      </c>
      <c r="F18" s="55">
        <v>42059</v>
      </c>
      <c r="G18" s="13" t="s">
        <v>18</v>
      </c>
      <c r="H18" s="7"/>
      <c r="I18" s="7"/>
      <c r="J18" s="7"/>
      <c r="K18" s="51">
        <v>9</v>
      </c>
      <c r="L18" s="7"/>
      <c r="M18" s="7"/>
      <c r="N18" s="7"/>
      <c r="O18" s="47">
        <f t="shared" si="2"/>
        <v>9</v>
      </c>
      <c r="P18" s="7"/>
      <c r="Q18" s="7"/>
      <c r="R18" s="47">
        <f t="shared" si="1"/>
        <v>9</v>
      </c>
    </row>
    <row r="19" spans="1:18" s="9" customFormat="1" ht="24" x14ac:dyDescent="0.2">
      <c r="A19" s="7" t="s">
        <v>31</v>
      </c>
      <c r="B19" s="14" t="s">
        <v>32</v>
      </c>
      <c r="C19" s="8" t="s">
        <v>69</v>
      </c>
      <c r="D19" s="20"/>
      <c r="E19" s="55">
        <v>42038</v>
      </c>
      <c r="F19" s="55">
        <v>42038</v>
      </c>
      <c r="G19" s="13" t="s">
        <v>35</v>
      </c>
      <c r="H19" s="7"/>
      <c r="I19" s="7"/>
      <c r="J19" s="46"/>
      <c r="K19" s="46">
        <v>26.4</v>
      </c>
      <c r="L19" s="46"/>
      <c r="M19" s="46"/>
      <c r="N19" s="46"/>
      <c r="O19" s="47">
        <f t="shared" si="2"/>
        <v>26.4</v>
      </c>
      <c r="P19" s="46"/>
      <c r="Q19" s="46"/>
      <c r="R19" s="47">
        <f t="shared" si="1"/>
        <v>26.4</v>
      </c>
    </row>
    <row r="20" spans="1:18" s="9" customFormat="1" ht="24" x14ac:dyDescent="0.2">
      <c r="A20" s="7" t="s">
        <v>31</v>
      </c>
      <c r="B20" s="14" t="s">
        <v>32</v>
      </c>
      <c r="C20" s="8" t="s">
        <v>69</v>
      </c>
      <c r="D20" s="20"/>
      <c r="E20" s="55">
        <v>42039</v>
      </c>
      <c r="F20" s="55">
        <v>42039</v>
      </c>
      <c r="G20" s="13" t="s">
        <v>36</v>
      </c>
      <c r="H20" s="7"/>
      <c r="I20" s="7"/>
      <c r="J20" s="46"/>
      <c r="K20" s="46">
        <v>20</v>
      </c>
      <c r="L20" s="46"/>
      <c r="M20" s="46"/>
      <c r="N20" s="46"/>
      <c r="O20" s="47">
        <f t="shared" si="2"/>
        <v>20</v>
      </c>
      <c r="P20" s="46"/>
      <c r="Q20" s="46"/>
      <c r="R20" s="47">
        <f t="shared" si="1"/>
        <v>20</v>
      </c>
    </row>
    <row r="21" spans="1:18" s="9" customFormat="1" ht="24" x14ac:dyDescent="0.2">
      <c r="A21" s="7" t="s">
        <v>31</v>
      </c>
      <c r="B21" s="14" t="s">
        <v>32</v>
      </c>
      <c r="C21" s="8" t="s">
        <v>70</v>
      </c>
      <c r="D21" s="20"/>
      <c r="E21" s="55">
        <v>42040</v>
      </c>
      <c r="F21" s="55">
        <v>42040</v>
      </c>
      <c r="G21" s="13" t="s">
        <v>36</v>
      </c>
      <c r="H21" s="7"/>
      <c r="I21" s="7"/>
      <c r="J21" s="46"/>
      <c r="K21" s="46">
        <v>100</v>
      </c>
      <c r="L21" s="46">
        <v>79.989999999999995</v>
      </c>
      <c r="M21" s="46">
        <v>7.84</v>
      </c>
      <c r="N21" s="46"/>
      <c r="O21" s="47">
        <f>SUM(J21:N21)</f>
        <v>187.83</v>
      </c>
      <c r="P21" s="46"/>
      <c r="Q21" s="46"/>
      <c r="R21" s="47">
        <f>SUM(O21:Q21)</f>
        <v>187.83</v>
      </c>
    </row>
    <row r="22" spans="1:18" s="9" customFormat="1" ht="24" x14ac:dyDescent="0.2">
      <c r="A22" s="7" t="s">
        <v>31</v>
      </c>
      <c r="B22" s="14" t="s">
        <v>32</v>
      </c>
      <c r="C22" s="14" t="s">
        <v>52</v>
      </c>
      <c r="D22" s="20" t="s">
        <v>84</v>
      </c>
      <c r="E22" s="55">
        <v>42054</v>
      </c>
      <c r="F22" s="55">
        <v>42054</v>
      </c>
      <c r="G22" s="13" t="s">
        <v>18</v>
      </c>
      <c r="H22" s="7"/>
      <c r="I22" s="7"/>
      <c r="J22" s="46"/>
      <c r="K22" s="46">
        <v>6.38</v>
      </c>
      <c r="L22" s="46"/>
      <c r="M22" s="46"/>
      <c r="N22" s="46"/>
      <c r="O22" s="47">
        <f t="shared" si="2"/>
        <v>6.38</v>
      </c>
      <c r="P22" s="46"/>
      <c r="Q22" s="46"/>
      <c r="R22" s="47">
        <f t="shared" si="1"/>
        <v>6.38</v>
      </c>
    </row>
    <row r="23" spans="1:18" s="9" customFormat="1" ht="24" x14ac:dyDescent="0.2">
      <c r="A23" s="7" t="s">
        <v>38</v>
      </c>
      <c r="B23" s="8" t="s">
        <v>39</v>
      </c>
      <c r="C23" s="8" t="s">
        <v>63</v>
      </c>
      <c r="D23" s="8"/>
      <c r="E23" s="55">
        <v>42025</v>
      </c>
      <c r="F23" s="55">
        <v>42025</v>
      </c>
      <c r="G23" s="13" t="s">
        <v>18</v>
      </c>
      <c r="H23" s="7"/>
      <c r="I23" s="7"/>
      <c r="J23" s="46"/>
      <c r="K23" s="65">
        <v>15</v>
      </c>
      <c r="L23" s="46"/>
      <c r="M23" s="46"/>
      <c r="N23" s="46"/>
      <c r="O23" s="47">
        <f t="shared" ref="O23:O34" si="3">SUM(J23:N23)</f>
        <v>15</v>
      </c>
      <c r="P23" s="46"/>
      <c r="Q23" s="46"/>
      <c r="R23" s="47">
        <f>SUM(O23:Q23)</f>
        <v>15</v>
      </c>
    </row>
    <row r="24" spans="1:18" s="9" customFormat="1" ht="24" x14ac:dyDescent="0.2">
      <c r="A24" s="7" t="s">
        <v>38</v>
      </c>
      <c r="B24" s="8" t="s">
        <v>39</v>
      </c>
      <c r="C24" s="8" t="s">
        <v>71</v>
      </c>
      <c r="D24" s="8" t="s">
        <v>85</v>
      </c>
      <c r="E24" s="55">
        <v>42032</v>
      </c>
      <c r="F24" s="55">
        <v>42032</v>
      </c>
      <c r="G24" s="13" t="s">
        <v>18</v>
      </c>
      <c r="H24" s="7"/>
      <c r="I24" s="7"/>
      <c r="J24" s="46"/>
      <c r="K24" s="65">
        <v>20.350000000000001</v>
      </c>
      <c r="L24" s="46"/>
      <c r="M24" s="46"/>
      <c r="N24" s="46"/>
      <c r="O24" s="47">
        <f t="shared" si="3"/>
        <v>20.350000000000001</v>
      </c>
      <c r="P24" s="46"/>
      <c r="Q24" s="46"/>
      <c r="R24" s="47">
        <f>SUM(O24:Q24)</f>
        <v>20.350000000000001</v>
      </c>
    </row>
    <row r="25" spans="1:18" s="9" customFormat="1" ht="24" x14ac:dyDescent="0.2">
      <c r="A25" s="7" t="s">
        <v>33</v>
      </c>
      <c r="B25" s="14" t="s">
        <v>34</v>
      </c>
      <c r="C25" s="8" t="s">
        <v>72</v>
      </c>
      <c r="D25" s="20"/>
      <c r="E25" s="55">
        <v>42038</v>
      </c>
      <c r="F25" s="55">
        <v>42039</v>
      </c>
      <c r="G25" s="13" t="s">
        <v>43</v>
      </c>
      <c r="H25" s="7"/>
      <c r="I25" s="7"/>
      <c r="J25" s="46"/>
      <c r="K25" s="46">
        <v>122</v>
      </c>
      <c r="L25" s="46"/>
      <c r="M25" s="46"/>
      <c r="N25" s="46"/>
      <c r="O25" s="47">
        <f t="shared" si="3"/>
        <v>122</v>
      </c>
      <c r="P25" s="46"/>
      <c r="Q25" s="46"/>
      <c r="R25" s="47">
        <f>SUM(O25:Q25)</f>
        <v>122</v>
      </c>
    </row>
    <row r="26" spans="1:18" s="9" customFormat="1" ht="24" x14ac:dyDescent="0.2">
      <c r="A26" s="7" t="s">
        <v>33</v>
      </c>
      <c r="B26" s="14" t="s">
        <v>34</v>
      </c>
      <c r="C26" s="8" t="s">
        <v>72</v>
      </c>
      <c r="D26" s="20"/>
      <c r="E26" s="55">
        <v>42040</v>
      </c>
      <c r="F26" s="55">
        <v>42041</v>
      </c>
      <c r="G26" s="13" t="s">
        <v>42</v>
      </c>
      <c r="H26" s="7"/>
      <c r="I26" s="7"/>
      <c r="J26" s="46"/>
      <c r="K26" s="46">
        <v>175.16</v>
      </c>
      <c r="L26" s="46">
        <v>99</v>
      </c>
      <c r="M26" s="46">
        <v>17.73</v>
      </c>
      <c r="N26" s="46"/>
      <c r="O26" s="47">
        <f t="shared" si="3"/>
        <v>291.89</v>
      </c>
      <c r="P26" s="46"/>
      <c r="Q26" s="46"/>
      <c r="R26" s="47">
        <f>SUM(O26:Q26)</f>
        <v>291.89</v>
      </c>
    </row>
    <row r="27" spans="1:18" s="19" customFormat="1" ht="30" customHeight="1" x14ac:dyDescent="0.2">
      <c r="A27" s="18" t="s">
        <v>20</v>
      </c>
      <c r="B27" s="18" t="s">
        <v>21</v>
      </c>
      <c r="C27" s="8" t="s">
        <v>51</v>
      </c>
      <c r="D27" s="60" t="s">
        <v>76</v>
      </c>
      <c r="E27" s="56">
        <v>42041</v>
      </c>
      <c r="F27" s="56">
        <v>42041</v>
      </c>
      <c r="G27" s="57" t="s">
        <v>18</v>
      </c>
      <c r="H27" s="18"/>
      <c r="I27" s="18"/>
      <c r="J27" s="18"/>
      <c r="K27" s="54">
        <v>3.98</v>
      </c>
      <c r="L27" s="18"/>
      <c r="M27" s="18"/>
      <c r="N27" s="18"/>
      <c r="O27" s="61">
        <f t="shared" si="3"/>
        <v>3.98</v>
      </c>
      <c r="P27" s="18"/>
      <c r="Q27" s="18"/>
      <c r="R27" s="61">
        <f t="shared" ref="R27:R33" si="4">SUM(O27:Q27)</f>
        <v>3.98</v>
      </c>
    </row>
    <row r="28" spans="1:18" s="19" customFormat="1" ht="30" customHeight="1" x14ac:dyDescent="0.2">
      <c r="A28" s="18" t="s">
        <v>20</v>
      </c>
      <c r="B28" s="18" t="s">
        <v>21</v>
      </c>
      <c r="C28" s="8" t="s">
        <v>51</v>
      </c>
      <c r="D28" s="60" t="s">
        <v>75</v>
      </c>
      <c r="E28" s="56">
        <v>42062</v>
      </c>
      <c r="F28" s="56">
        <v>42062</v>
      </c>
      <c r="G28" s="57" t="s">
        <v>18</v>
      </c>
      <c r="H28" s="18"/>
      <c r="I28" s="18"/>
      <c r="J28" s="18"/>
      <c r="K28" s="54">
        <v>12.39</v>
      </c>
      <c r="L28" s="18"/>
      <c r="M28" s="18"/>
      <c r="N28" s="18"/>
      <c r="O28" s="61">
        <f t="shared" si="3"/>
        <v>12.39</v>
      </c>
      <c r="P28" s="18"/>
      <c r="Q28" s="18"/>
      <c r="R28" s="61">
        <f t="shared" si="4"/>
        <v>12.39</v>
      </c>
    </row>
    <row r="29" spans="1:18" s="9" customFormat="1" ht="29.1" customHeight="1" x14ac:dyDescent="0.2">
      <c r="A29" s="7" t="s">
        <v>31</v>
      </c>
      <c r="B29" s="14" t="s">
        <v>32</v>
      </c>
      <c r="C29" s="8" t="s">
        <v>57</v>
      </c>
      <c r="D29" s="20"/>
      <c r="E29" s="55">
        <v>42034</v>
      </c>
      <c r="F29" s="55">
        <v>42034</v>
      </c>
      <c r="G29" s="13" t="s">
        <v>18</v>
      </c>
      <c r="H29" s="7"/>
      <c r="I29" s="7"/>
      <c r="J29" s="46"/>
      <c r="K29" s="46">
        <v>8.25</v>
      </c>
      <c r="L29" s="46"/>
      <c r="M29" s="46"/>
      <c r="N29" s="46"/>
      <c r="O29" s="47">
        <f t="shared" si="3"/>
        <v>8.25</v>
      </c>
      <c r="P29" s="46"/>
      <c r="Q29" s="46"/>
      <c r="R29" s="47">
        <f t="shared" si="4"/>
        <v>8.25</v>
      </c>
    </row>
    <row r="30" spans="1:18" s="9" customFormat="1" ht="29.1" customHeight="1" x14ac:dyDescent="0.2">
      <c r="A30" s="7" t="s">
        <v>31</v>
      </c>
      <c r="B30" s="14" t="s">
        <v>32</v>
      </c>
      <c r="C30" s="8" t="s">
        <v>52</v>
      </c>
      <c r="D30" s="20" t="s">
        <v>44</v>
      </c>
      <c r="E30" s="55">
        <v>42087</v>
      </c>
      <c r="F30" s="55">
        <v>42088</v>
      </c>
      <c r="G30" s="13" t="s">
        <v>45</v>
      </c>
      <c r="H30" s="7"/>
      <c r="I30" s="7"/>
      <c r="J30" s="46"/>
      <c r="K30" s="46"/>
      <c r="L30" s="46">
        <v>125.63</v>
      </c>
      <c r="M30" s="46"/>
      <c r="N30" s="46"/>
      <c r="O30" s="47">
        <f t="shared" si="3"/>
        <v>125.63</v>
      </c>
      <c r="P30" s="46"/>
      <c r="Q30" s="46"/>
      <c r="R30" s="47">
        <f t="shared" si="4"/>
        <v>125.63</v>
      </c>
    </row>
    <row r="31" spans="1:18" s="9" customFormat="1" ht="29.1" customHeight="1" x14ac:dyDescent="0.2">
      <c r="A31" s="7" t="s">
        <v>31</v>
      </c>
      <c r="B31" s="14" t="s">
        <v>32</v>
      </c>
      <c r="C31" s="8" t="s">
        <v>59</v>
      </c>
      <c r="D31" s="20"/>
      <c r="E31" s="55">
        <v>42060</v>
      </c>
      <c r="F31" s="55">
        <v>42061</v>
      </c>
      <c r="G31" s="13" t="s">
        <v>46</v>
      </c>
      <c r="H31" s="7"/>
      <c r="I31" s="7"/>
      <c r="J31" s="46"/>
      <c r="K31" s="46">
        <v>96.75</v>
      </c>
      <c r="L31" s="46"/>
      <c r="M31" s="46">
        <v>17.7</v>
      </c>
      <c r="N31" s="46"/>
      <c r="O31" s="47">
        <f t="shared" si="3"/>
        <v>114.45</v>
      </c>
      <c r="P31" s="46"/>
      <c r="Q31" s="46"/>
      <c r="R31" s="47">
        <f t="shared" si="4"/>
        <v>114.45</v>
      </c>
    </row>
    <row r="32" spans="1:18" s="9" customFormat="1" ht="39.950000000000003" customHeight="1" x14ac:dyDescent="0.2">
      <c r="A32" s="7" t="s">
        <v>31</v>
      </c>
      <c r="B32" s="14" t="s">
        <v>32</v>
      </c>
      <c r="C32" s="8" t="s">
        <v>58</v>
      </c>
      <c r="D32" s="8" t="s">
        <v>74</v>
      </c>
      <c r="E32" s="55">
        <v>42068</v>
      </c>
      <c r="F32" s="55">
        <v>42068</v>
      </c>
      <c r="G32" s="13" t="s">
        <v>47</v>
      </c>
      <c r="H32" s="7"/>
      <c r="I32" s="7"/>
      <c r="J32" s="46">
        <v>541.25</v>
      </c>
      <c r="K32" s="46">
        <v>97.57</v>
      </c>
      <c r="L32" s="46"/>
      <c r="M32" s="46"/>
      <c r="N32" s="46"/>
      <c r="O32" s="47">
        <f t="shared" si="3"/>
        <v>638.81999999999994</v>
      </c>
      <c r="P32" s="46"/>
      <c r="Q32" s="46"/>
      <c r="R32" s="47">
        <f t="shared" si="4"/>
        <v>638.81999999999994</v>
      </c>
    </row>
    <row r="33" spans="1:18" s="9" customFormat="1" ht="29.1" customHeight="1" x14ac:dyDescent="0.2">
      <c r="A33" s="7" t="s">
        <v>48</v>
      </c>
      <c r="B33" s="8" t="s">
        <v>25</v>
      </c>
      <c r="C33" s="8" t="s">
        <v>55</v>
      </c>
      <c r="D33" s="20"/>
      <c r="E33" s="55">
        <v>42087</v>
      </c>
      <c r="F33" s="55">
        <v>42087</v>
      </c>
      <c r="G33" s="13" t="s">
        <v>18</v>
      </c>
      <c r="H33" s="7"/>
      <c r="I33" s="7"/>
      <c r="J33" s="46"/>
      <c r="K33" s="46">
        <v>60</v>
      </c>
      <c r="L33" s="46"/>
      <c r="M33" s="46"/>
      <c r="N33" s="46"/>
      <c r="O33" s="47">
        <f t="shared" si="3"/>
        <v>60</v>
      </c>
      <c r="P33" s="46"/>
      <c r="Q33" s="46"/>
      <c r="R33" s="47">
        <f t="shared" si="4"/>
        <v>60</v>
      </c>
    </row>
    <row r="34" spans="1:18" s="9" customFormat="1" ht="12" x14ac:dyDescent="0.2">
      <c r="A34" s="7" t="s">
        <v>30</v>
      </c>
      <c r="B34" s="8" t="s">
        <v>25</v>
      </c>
      <c r="C34" s="8" t="s">
        <v>216</v>
      </c>
      <c r="D34" s="20"/>
      <c r="E34" s="55">
        <v>42088</v>
      </c>
      <c r="F34" s="55">
        <v>42089</v>
      </c>
      <c r="G34" s="13" t="s">
        <v>18</v>
      </c>
      <c r="H34" s="7"/>
      <c r="I34" s="7"/>
      <c r="J34" s="46"/>
      <c r="K34" s="46">
        <v>83.2</v>
      </c>
      <c r="L34" s="46">
        <v>142.69999999999999</v>
      </c>
      <c r="M34" s="46"/>
      <c r="N34" s="46"/>
      <c r="O34" s="47">
        <f t="shared" si="3"/>
        <v>225.89999999999998</v>
      </c>
      <c r="P34" s="46"/>
      <c r="Q34" s="46"/>
      <c r="R34" s="47">
        <f>SUM(O34:P34:Q34)</f>
        <v>225.89999999999998</v>
      </c>
    </row>
    <row r="35" spans="1:18" s="9" customFormat="1" ht="12" x14ac:dyDescent="0.2">
      <c r="A35" s="7" t="s">
        <v>49</v>
      </c>
      <c r="B35" s="8" t="s">
        <v>25</v>
      </c>
      <c r="C35" s="8" t="s">
        <v>55</v>
      </c>
      <c r="D35" s="20"/>
      <c r="E35" s="55">
        <v>42088</v>
      </c>
      <c r="F35" s="55">
        <v>42089</v>
      </c>
      <c r="G35" s="13" t="s">
        <v>18</v>
      </c>
      <c r="H35" s="7"/>
      <c r="I35" s="7"/>
      <c r="J35" s="46"/>
      <c r="K35" s="46"/>
      <c r="L35" s="46">
        <v>142.69999999999999</v>
      </c>
      <c r="M35" s="46"/>
      <c r="N35" s="46"/>
      <c r="O35" s="47">
        <f t="shared" ref="O35:O40" si="5">SUM(J35:N35)</f>
        <v>142.69999999999999</v>
      </c>
      <c r="P35" s="46"/>
      <c r="Q35" s="46"/>
      <c r="R35" s="47">
        <f>SUM(O35:P35:Q35)</f>
        <v>142.69999999999999</v>
      </c>
    </row>
    <row r="36" spans="1:18" s="9" customFormat="1" ht="12" x14ac:dyDescent="0.2">
      <c r="A36" s="7" t="s">
        <v>27</v>
      </c>
      <c r="B36" s="8" t="s">
        <v>37</v>
      </c>
      <c r="C36" s="8" t="s">
        <v>55</v>
      </c>
      <c r="D36" s="20"/>
      <c r="E36" s="55">
        <v>42088</v>
      </c>
      <c r="F36" s="55">
        <v>42089</v>
      </c>
      <c r="G36" s="13" t="s">
        <v>18</v>
      </c>
      <c r="H36" s="7"/>
      <c r="I36" s="7"/>
      <c r="J36" s="46"/>
      <c r="K36" s="46">
        <v>13</v>
      </c>
      <c r="L36" s="46">
        <v>142.69999999999999</v>
      </c>
      <c r="M36" s="46"/>
      <c r="N36" s="46"/>
      <c r="O36" s="47">
        <f t="shared" si="5"/>
        <v>155.69999999999999</v>
      </c>
      <c r="P36" s="46"/>
      <c r="Q36" s="46"/>
      <c r="R36" s="47">
        <f>SUM(O36:P36:Q36)</f>
        <v>155.69999999999999</v>
      </c>
    </row>
    <row r="37" spans="1:18" s="9" customFormat="1" ht="12" x14ac:dyDescent="0.2">
      <c r="A37" s="7" t="s">
        <v>27</v>
      </c>
      <c r="B37" s="8" t="s">
        <v>37</v>
      </c>
      <c r="C37" s="8" t="s">
        <v>51</v>
      </c>
      <c r="D37" s="20" t="s">
        <v>60</v>
      </c>
      <c r="E37" s="55">
        <v>42087</v>
      </c>
      <c r="F37" s="55">
        <v>42088</v>
      </c>
      <c r="G37" s="13" t="s">
        <v>18</v>
      </c>
      <c r="H37" s="7"/>
      <c r="I37" s="7"/>
      <c r="J37" s="46"/>
      <c r="K37" s="46">
        <v>63</v>
      </c>
      <c r="L37" s="46">
        <v>142.69999999999999</v>
      </c>
      <c r="M37" s="46"/>
      <c r="N37" s="46"/>
      <c r="O37" s="47">
        <f t="shared" si="5"/>
        <v>205.7</v>
      </c>
      <c r="P37" s="46"/>
      <c r="Q37" s="46"/>
      <c r="R37" s="47">
        <f>SUM(O37:P37:Q37)</f>
        <v>205.7</v>
      </c>
    </row>
    <row r="38" spans="1:18" s="9" customFormat="1" ht="12" x14ac:dyDescent="0.2">
      <c r="A38" s="7" t="s">
        <v>50</v>
      </c>
      <c r="B38" s="8" t="s">
        <v>37</v>
      </c>
      <c r="C38" s="8" t="s">
        <v>55</v>
      </c>
      <c r="D38" s="20"/>
      <c r="E38" s="55">
        <v>42087</v>
      </c>
      <c r="F38" s="55">
        <v>42088</v>
      </c>
      <c r="G38" s="13" t="s">
        <v>18</v>
      </c>
      <c r="H38" s="7"/>
      <c r="I38" s="7"/>
      <c r="J38" s="46"/>
      <c r="K38" s="46"/>
      <c r="L38" s="46">
        <v>142.69999999999999</v>
      </c>
      <c r="M38" s="46"/>
      <c r="N38" s="46"/>
      <c r="O38" s="47">
        <f t="shared" si="5"/>
        <v>142.69999999999999</v>
      </c>
      <c r="P38" s="46"/>
      <c r="Q38" s="46"/>
      <c r="R38" s="47">
        <f>SUM(O38:P38:Q38)</f>
        <v>142.69999999999999</v>
      </c>
    </row>
    <row r="39" spans="1:18" s="9" customFormat="1" ht="24" x14ac:dyDescent="0.2">
      <c r="A39" s="7" t="s">
        <v>33</v>
      </c>
      <c r="B39" s="14" t="s">
        <v>34</v>
      </c>
      <c r="C39" s="8" t="s">
        <v>40</v>
      </c>
      <c r="D39" s="20"/>
      <c r="E39" s="55">
        <v>42094</v>
      </c>
      <c r="F39" s="55">
        <v>42094</v>
      </c>
      <c r="G39" s="13" t="s">
        <v>18</v>
      </c>
      <c r="H39" s="7"/>
      <c r="I39" s="7"/>
      <c r="J39" s="46"/>
      <c r="K39" s="46">
        <v>10</v>
      </c>
      <c r="L39" s="46"/>
      <c r="M39" s="46"/>
      <c r="N39" s="46"/>
      <c r="O39" s="47">
        <f t="shared" si="5"/>
        <v>10</v>
      </c>
      <c r="P39" s="46"/>
      <c r="Q39" s="46"/>
      <c r="R39" s="47">
        <f>SUM(O39:Q39)</f>
        <v>10</v>
      </c>
    </row>
    <row r="40" spans="1:18" s="9" customFormat="1" ht="24" x14ac:dyDescent="0.2">
      <c r="A40" s="7" t="s">
        <v>30</v>
      </c>
      <c r="B40" s="8" t="s">
        <v>25</v>
      </c>
      <c r="C40" s="8" t="s">
        <v>56</v>
      </c>
      <c r="D40" s="20"/>
      <c r="E40" s="55">
        <v>42088</v>
      </c>
      <c r="F40" s="55">
        <v>42089</v>
      </c>
      <c r="G40" s="13" t="s">
        <v>18</v>
      </c>
      <c r="H40" s="7"/>
      <c r="I40" s="7"/>
      <c r="J40" s="46"/>
      <c r="K40" s="46">
        <v>201.4</v>
      </c>
      <c r="L40" s="46"/>
      <c r="M40" s="46"/>
      <c r="N40" s="46"/>
      <c r="O40" s="47">
        <f t="shared" si="5"/>
        <v>201.4</v>
      </c>
      <c r="P40" s="46"/>
      <c r="Q40" s="46"/>
      <c r="R40" s="47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"/>
  <sheetViews>
    <sheetView view="pageBreakPreview" zoomScale="60" zoomScaleNormal="100" workbookViewId="0">
      <selection activeCell="N60" sqref="N60"/>
    </sheetView>
  </sheetViews>
  <sheetFormatPr defaultRowHeight="14.25" x14ac:dyDescent="0.2"/>
  <cols>
    <col min="1" max="2" width="16" bestFit="1" customWidth="1"/>
    <col min="3" max="3" width="19" customWidth="1"/>
    <col min="4" max="4" width="21.75" bestFit="1" customWidth="1"/>
    <col min="7" max="7" width="12.125" bestFit="1" customWidth="1"/>
    <col min="11" max="11" width="11.375" customWidth="1"/>
  </cols>
  <sheetData>
    <row r="1" spans="1:18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190</v>
      </c>
      <c r="D2" s="8" t="s">
        <v>183</v>
      </c>
      <c r="E2" s="55">
        <v>42236</v>
      </c>
      <c r="F2" s="55">
        <v>42236</v>
      </c>
      <c r="G2" s="10" t="s">
        <v>18</v>
      </c>
      <c r="H2" s="27"/>
      <c r="I2" s="74"/>
      <c r="J2" s="27"/>
      <c r="K2" s="28">
        <v>4.5</v>
      </c>
      <c r="L2" s="27"/>
      <c r="M2" s="27"/>
      <c r="N2" s="27"/>
      <c r="O2" s="26">
        <f>SUM(J2:N2)</f>
        <v>4.5</v>
      </c>
      <c r="P2" s="27"/>
      <c r="Q2" s="27"/>
      <c r="R2" s="26">
        <f>SUM(O2:Q2)</f>
        <v>4.5</v>
      </c>
    </row>
    <row r="3" spans="1:18" s="12" customFormat="1" ht="24" x14ac:dyDescent="0.2">
      <c r="A3" s="10" t="s">
        <v>20</v>
      </c>
      <c r="B3" s="10" t="s">
        <v>21</v>
      </c>
      <c r="C3" s="11" t="s">
        <v>107</v>
      </c>
      <c r="D3" s="8" t="s">
        <v>184</v>
      </c>
      <c r="E3" s="55">
        <v>42241</v>
      </c>
      <c r="F3" s="55">
        <v>42241</v>
      </c>
      <c r="G3" s="10" t="s">
        <v>18</v>
      </c>
      <c r="H3" s="27"/>
      <c r="I3" s="74"/>
      <c r="J3" s="27"/>
      <c r="K3" s="28">
        <v>8</v>
      </c>
      <c r="L3" s="27"/>
      <c r="M3" s="27"/>
      <c r="N3" s="27"/>
      <c r="O3" s="26">
        <f>SUM(J3:N3)</f>
        <v>8</v>
      </c>
      <c r="P3" s="27"/>
      <c r="Q3" s="27"/>
      <c r="R3" s="26">
        <f>SUM(O3:Q3)</f>
        <v>8</v>
      </c>
    </row>
    <row r="4" spans="1:18" s="12" customFormat="1" ht="24" x14ac:dyDescent="0.2">
      <c r="A4" s="10" t="s">
        <v>20</v>
      </c>
      <c r="B4" s="10" t="s">
        <v>21</v>
      </c>
      <c r="C4" s="11" t="s">
        <v>186</v>
      </c>
      <c r="D4" s="10" t="s">
        <v>158</v>
      </c>
      <c r="E4" s="55">
        <v>42242</v>
      </c>
      <c r="F4" s="55">
        <v>42244</v>
      </c>
      <c r="G4" s="10" t="s">
        <v>171</v>
      </c>
      <c r="H4" s="27"/>
      <c r="I4" s="74"/>
      <c r="J4" s="27"/>
      <c r="K4" s="28">
        <v>93.05</v>
      </c>
      <c r="L4" s="27"/>
      <c r="M4" s="27"/>
      <c r="N4" s="27"/>
      <c r="O4" s="26">
        <f>SUM(J4:N4)</f>
        <v>93.05</v>
      </c>
      <c r="P4" s="27"/>
      <c r="Q4" s="27"/>
      <c r="R4" s="26">
        <f>SUM(O4:Q4)</f>
        <v>93.05</v>
      </c>
    </row>
    <row r="5" spans="1:18" s="12" customFormat="1" ht="24" x14ac:dyDescent="0.2">
      <c r="A5" s="7" t="s">
        <v>30</v>
      </c>
      <c r="B5" s="8" t="s">
        <v>25</v>
      </c>
      <c r="C5" s="8" t="s">
        <v>169</v>
      </c>
      <c r="D5" s="20"/>
      <c r="E5" s="55">
        <v>42241</v>
      </c>
      <c r="F5" s="55">
        <v>42242</v>
      </c>
      <c r="G5" s="10" t="s">
        <v>18</v>
      </c>
      <c r="H5" s="27"/>
      <c r="I5" s="74"/>
      <c r="J5" s="27"/>
      <c r="K5" s="28">
        <v>35</v>
      </c>
      <c r="L5" s="27">
        <v>152.96</v>
      </c>
      <c r="M5" s="27"/>
      <c r="N5" s="27"/>
      <c r="O5" s="26">
        <f>SUM(J5:N5)</f>
        <v>187.96</v>
      </c>
      <c r="P5" s="27"/>
      <c r="Q5" s="27"/>
      <c r="R5" s="26">
        <f>SUM(O5:Q5)</f>
        <v>187.96</v>
      </c>
    </row>
    <row r="9" spans="1:18" x14ac:dyDescent="0.2">
      <c r="A9" t="s">
        <v>112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0"/>
  <sheetViews>
    <sheetView workbookViewId="0">
      <selection activeCell="A18" sqref="A18:XFD18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1.375" customWidth="1"/>
    <col min="7" max="7" width="9.37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36" x14ac:dyDescent="0.2">
      <c r="A2" s="10" t="s">
        <v>20</v>
      </c>
      <c r="B2" s="10" t="s">
        <v>21</v>
      </c>
      <c r="C2" s="8" t="s">
        <v>201</v>
      </c>
      <c r="D2" s="8" t="s">
        <v>202</v>
      </c>
      <c r="E2" s="55">
        <v>42262</v>
      </c>
      <c r="F2" s="55">
        <v>42262</v>
      </c>
      <c r="G2" s="10" t="s">
        <v>18</v>
      </c>
      <c r="H2" s="27"/>
      <c r="I2" s="74"/>
      <c r="J2" s="27"/>
      <c r="K2" s="28">
        <v>27.75</v>
      </c>
      <c r="L2" s="27"/>
      <c r="M2" s="27"/>
      <c r="N2" s="27"/>
      <c r="O2" s="26">
        <f t="shared" ref="O2:O11" si="0">SUM(J2:N2)</f>
        <v>27.75</v>
      </c>
      <c r="P2" s="27"/>
      <c r="Q2" s="27"/>
      <c r="R2" s="26">
        <f>SUM(O2:Q2)</f>
        <v>27.75</v>
      </c>
    </row>
    <row r="3" spans="1:19" s="12" customFormat="1" ht="36" x14ac:dyDescent="0.2">
      <c r="A3" s="10" t="s">
        <v>20</v>
      </c>
      <c r="B3" s="10" t="s">
        <v>21</v>
      </c>
      <c r="C3" s="8" t="s">
        <v>201</v>
      </c>
      <c r="D3" s="8" t="s">
        <v>203</v>
      </c>
      <c r="E3" s="55">
        <v>42262</v>
      </c>
      <c r="F3" s="55">
        <v>42262</v>
      </c>
      <c r="G3" s="10" t="s">
        <v>18</v>
      </c>
      <c r="H3" s="27"/>
      <c r="I3" s="74"/>
      <c r="J3" s="27"/>
      <c r="K3" s="28"/>
      <c r="L3" s="27"/>
      <c r="M3" s="27"/>
      <c r="N3" s="27"/>
      <c r="O3" s="26">
        <f t="shared" si="0"/>
        <v>0</v>
      </c>
      <c r="P3" s="27">
        <v>70.8</v>
      </c>
      <c r="Q3" s="27"/>
      <c r="R3" s="26">
        <f>SUM(O3:Q3)</f>
        <v>70.8</v>
      </c>
    </row>
    <row r="4" spans="1:19" s="9" customFormat="1" ht="48" x14ac:dyDescent="0.2">
      <c r="A4" s="37" t="s">
        <v>133</v>
      </c>
      <c r="B4" s="18" t="s">
        <v>204</v>
      </c>
      <c r="C4" s="11" t="s">
        <v>55</v>
      </c>
      <c r="D4" s="18"/>
      <c r="E4" s="58">
        <v>42277</v>
      </c>
      <c r="F4" s="58">
        <v>42278</v>
      </c>
      <c r="G4" s="57" t="s">
        <v>22</v>
      </c>
      <c r="H4" s="37"/>
      <c r="I4" s="37"/>
      <c r="J4" s="48"/>
      <c r="K4" s="54">
        <v>11.5</v>
      </c>
      <c r="L4" s="48">
        <v>159</v>
      </c>
      <c r="M4" s="48"/>
      <c r="N4" s="48"/>
      <c r="O4" s="47">
        <f t="shared" si="0"/>
        <v>170.5</v>
      </c>
      <c r="P4" s="48"/>
      <c r="Q4" s="48"/>
      <c r="R4" s="47">
        <f>SUM(O4:Q4)</f>
        <v>170.5</v>
      </c>
      <c r="S4" s="49"/>
    </row>
    <row r="5" spans="1:19" s="12" customFormat="1" ht="24" x14ac:dyDescent="0.2">
      <c r="A5" s="10" t="s">
        <v>20</v>
      </c>
      <c r="B5" s="10" t="s">
        <v>21</v>
      </c>
      <c r="C5" s="11" t="s">
        <v>55</v>
      </c>
      <c r="D5" s="8"/>
      <c r="E5" s="58">
        <v>42277</v>
      </c>
      <c r="F5" s="58">
        <v>42278</v>
      </c>
      <c r="G5" s="57" t="s">
        <v>22</v>
      </c>
      <c r="H5" s="27"/>
      <c r="I5" s="74"/>
      <c r="J5" s="27"/>
      <c r="K5" s="28">
        <v>13.7</v>
      </c>
      <c r="L5" s="27">
        <v>159</v>
      </c>
      <c r="M5" s="27"/>
      <c r="N5" s="27"/>
      <c r="O5" s="26">
        <f t="shared" si="0"/>
        <v>172.7</v>
      </c>
      <c r="P5" s="27"/>
      <c r="Q5" s="27"/>
      <c r="R5" s="26">
        <f>SUM(O5:Q5)</f>
        <v>172.7</v>
      </c>
    </row>
    <row r="6" spans="1:19" s="12" customFormat="1" ht="24" x14ac:dyDescent="0.2">
      <c r="A6" s="37" t="s">
        <v>205</v>
      </c>
      <c r="B6" s="18" t="s">
        <v>37</v>
      </c>
      <c r="C6" s="11" t="s">
        <v>55</v>
      </c>
      <c r="D6" s="18"/>
      <c r="E6" s="58">
        <v>42277</v>
      </c>
      <c r="F6" s="58">
        <v>42278</v>
      </c>
      <c r="G6" s="57" t="s">
        <v>22</v>
      </c>
      <c r="H6" s="37"/>
      <c r="I6" s="37"/>
      <c r="J6" s="48"/>
      <c r="K6" s="48"/>
      <c r="L6" s="48">
        <v>159</v>
      </c>
      <c r="M6" s="48"/>
      <c r="N6" s="48"/>
      <c r="O6" s="47">
        <f t="shared" si="0"/>
        <v>159</v>
      </c>
      <c r="P6" s="48"/>
      <c r="Q6" s="48"/>
      <c r="R6" s="47">
        <f>SUM(O6:P6:Q6)</f>
        <v>159</v>
      </c>
      <c r="S6" s="49"/>
    </row>
    <row r="7" spans="1:19" s="9" customFormat="1" ht="24" x14ac:dyDescent="0.2">
      <c r="A7" s="37" t="s">
        <v>206</v>
      </c>
      <c r="B7" s="18" t="s">
        <v>25</v>
      </c>
      <c r="C7" s="11" t="s">
        <v>55</v>
      </c>
      <c r="D7" s="18"/>
      <c r="E7" s="58">
        <v>42277</v>
      </c>
      <c r="F7" s="58">
        <v>42278</v>
      </c>
      <c r="G7" s="57" t="s">
        <v>22</v>
      </c>
      <c r="H7" s="39"/>
      <c r="I7" s="39"/>
      <c r="J7" s="40"/>
      <c r="K7" s="40"/>
      <c r="L7" s="40">
        <v>159</v>
      </c>
      <c r="M7" s="40"/>
      <c r="N7" s="40"/>
      <c r="O7" s="26">
        <f t="shared" si="0"/>
        <v>159</v>
      </c>
      <c r="P7" s="40"/>
      <c r="Q7" s="40"/>
      <c r="R7" s="26">
        <f>SUM(O7:P7:Q7)</f>
        <v>159</v>
      </c>
    </row>
    <row r="8" spans="1:19" s="9" customFormat="1" ht="24" x14ac:dyDescent="0.2">
      <c r="A8" s="37" t="s">
        <v>207</v>
      </c>
      <c r="B8" s="18" t="s">
        <v>25</v>
      </c>
      <c r="C8" s="11" t="s">
        <v>55</v>
      </c>
      <c r="D8" s="18"/>
      <c r="E8" s="58">
        <v>42277</v>
      </c>
      <c r="F8" s="58">
        <v>42278</v>
      </c>
      <c r="G8" s="57" t="s">
        <v>22</v>
      </c>
      <c r="H8" s="39"/>
      <c r="I8" s="39"/>
      <c r="J8" s="40"/>
      <c r="K8" s="40"/>
      <c r="L8" s="40">
        <v>159</v>
      </c>
      <c r="M8" s="40"/>
      <c r="N8" s="40"/>
      <c r="O8" s="26">
        <f t="shared" si="0"/>
        <v>159</v>
      </c>
      <c r="P8" s="40"/>
      <c r="Q8" s="40"/>
      <c r="R8" s="26">
        <f>SUM(O8:P8:Q8)</f>
        <v>159</v>
      </c>
    </row>
    <row r="9" spans="1:19" s="9" customFormat="1" ht="24" x14ac:dyDescent="0.2">
      <c r="A9" s="37" t="s">
        <v>208</v>
      </c>
      <c r="B9" s="18" t="s">
        <v>25</v>
      </c>
      <c r="C9" s="11" t="s">
        <v>55</v>
      </c>
      <c r="D9" s="18"/>
      <c r="E9" s="58">
        <v>42277</v>
      </c>
      <c r="F9" s="58">
        <v>42278</v>
      </c>
      <c r="G9" s="57" t="s">
        <v>22</v>
      </c>
      <c r="H9" s="39"/>
      <c r="I9" s="39"/>
      <c r="J9" s="40"/>
      <c r="K9" s="40">
        <v>113.7</v>
      </c>
      <c r="L9" s="40">
        <v>159</v>
      </c>
      <c r="M9" s="40"/>
      <c r="N9" s="40"/>
      <c r="O9" s="26">
        <f t="shared" si="0"/>
        <v>272.7</v>
      </c>
      <c r="P9" s="40"/>
      <c r="Q9" s="40"/>
      <c r="R9" s="26">
        <f>SUM(O9:P9:Q9)</f>
        <v>272.7</v>
      </c>
    </row>
    <row r="10" spans="1:19" s="9" customFormat="1" ht="24" x14ac:dyDescent="0.2">
      <c r="A10" s="10" t="s">
        <v>38</v>
      </c>
      <c r="B10" s="13" t="s">
        <v>168</v>
      </c>
      <c r="C10" s="11" t="s">
        <v>55</v>
      </c>
      <c r="D10" s="18"/>
      <c r="E10" s="58">
        <v>42277</v>
      </c>
      <c r="F10" s="58">
        <v>42278</v>
      </c>
      <c r="G10" s="57" t="s">
        <v>22</v>
      </c>
      <c r="H10" s="27"/>
      <c r="I10" s="27"/>
      <c r="J10" s="28"/>
      <c r="K10" s="28"/>
      <c r="L10" s="28">
        <v>159</v>
      </c>
      <c r="M10" s="28"/>
      <c r="N10" s="28"/>
      <c r="O10" s="26">
        <f t="shared" si="0"/>
        <v>159</v>
      </c>
      <c r="P10" s="28"/>
      <c r="Q10" s="28"/>
      <c r="R10" s="26">
        <f>SUM(O10:Q10)</f>
        <v>159</v>
      </c>
    </row>
    <row r="11" spans="1:19" s="9" customFormat="1" ht="24" x14ac:dyDescent="0.2">
      <c r="A11" s="37" t="s">
        <v>50</v>
      </c>
      <c r="B11" s="18" t="s">
        <v>25</v>
      </c>
      <c r="C11" s="11" t="s">
        <v>55</v>
      </c>
      <c r="D11" s="18"/>
      <c r="E11" s="58">
        <v>42277</v>
      </c>
      <c r="F11" s="58">
        <v>42278</v>
      </c>
      <c r="G11" s="57" t="s">
        <v>22</v>
      </c>
      <c r="H11" s="39"/>
      <c r="I11" s="39"/>
      <c r="J11" s="40"/>
      <c r="K11" s="40"/>
      <c r="L11" s="40">
        <v>159</v>
      </c>
      <c r="M11" s="40"/>
      <c r="N11" s="40"/>
      <c r="O11" s="26">
        <f t="shared" si="0"/>
        <v>159</v>
      </c>
      <c r="P11" s="40"/>
      <c r="Q11" s="40"/>
      <c r="R11" s="26">
        <f>SUM(O11:P11:Q11)</f>
        <v>159</v>
      </c>
    </row>
    <row r="12" spans="1:19" s="9" customFormat="1" ht="24" x14ac:dyDescent="0.2">
      <c r="A12" s="37" t="s">
        <v>1</v>
      </c>
      <c r="B12" s="18" t="s">
        <v>25</v>
      </c>
      <c r="C12" s="11" t="s">
        <v>55</v>
      </c>
      <c r="D12" s="18"/>
      <c r="E12" s="58">
        <v>42277</v>
      </c>
      <c r="F12" s="58">
        <v>42278</v>
      </c>
      <c r="G12" s="57" t="s">
        <v>22</v>
      </c>
      <c r="H12" s="39"/>
      <c r="I12" s="39"/>
      <c r="J12" s="40"/>
      <c r="K12" s="40"/>
      <c r="L12" s="40">
        <v>159</v>
      </c>
      <c r="M12" s="40"/>
      <c r="N12" s="40"/>
      <c r="O12" s="26">
        <f t="shared" ref="O12:O17" si="1">SUM(J12:N12)</f>
        <v>159</v>
      </c>
      <c r="P12" s="40"/>
      <c r="Q12" s="40"/>
      <c r="R12" s="26">
        <f>SUM(O12:P12:Q12)</f>
        <v>159</v>
      </c>
    </row>
    <row r="13" spans="1:19" s="9" customFormat="1" ht="24" x14ac:dyDescent="0.2">
      <c r="A13" s="37" t="s">
        <v>173</v>
      </c>
      <c r="B13" s="18" t="s">
        <v>25</v>
      </c>
      <c r="C13" s="11" t="s">
        <v>55</v>
      </c>
      <c r="D13" s="18"/>
      <c r="E13" s="58">
        <v>42277</v>
      </c>
      <c r="F13" s="58">
        <v>42278</v>
      </c>
      <c r="G13" s="57" t="s">
        <v>22</v>
      </c>
      <c r="H13" s="39"/>
      <c r="I13" s="39"/>
      <c r="J13" s="40"/>
      <c r="K13" s="40"/>
      <c r="L13" s="40">
        <v>159</v>
      </c>
      <c r="M13" s="40"/>
      <c r="N13" s="40"/>
      <c r="O13" s="26">
        <f t="shared" si="1"/>
        <v>159</v>
      </c>
      <c r="P13" s="40"/>
      <c r="Q13" s="40"/>
      <c r="R13" s="26">
        <f>SUM(O13:P13:Q13)</f>
        <v>159</v>
      </c>
    </row>
    <row r="14" spans="1:19" s="9" customFormat="1" ht="24" x14ac:dyDescent="0.2">
      <c r="A14" s="37" t="s">
        <v>48</v>
      </c>
      <c r="B14" s="18" t="s">
        <v>25</v>
      </c>
      <c r="C14" s="11" t="s">
        <v>55</v>
      </c>
      <c r="D14" s="18"/>
      <c r="E14" s="58">
        <v>42277</v>
      </c>
      <c r="F14" s="58">
        <v>42278</v>
      </c>
      <c r="G14" s="57" t="s">
        <v>22</v>
      </c>
      <c r="H14" s="39"/>
      <c r="I14" s="39"/>
      <c r="J14" s="40"/>
      <c r="K14" s="40"/>
      <c r="L14" s="40">
        <v>159</v>
      </c>
      <c r="M14" s="40"/>
      <c r="N14" s="40"/>
      <c r="O14" s="26">
        <f t="shared" si="1"/>
        <v>159</v>
      </c>
      <c r="P14" s="40"/>
      <c r="Q14" s="40"/>
      <c r="R14" s="26">
        <f>SUM(O14:P14:Q14)</f>
        <v>159</v>
      </c>
    </row>
    <row r="15" spans="1:19" s="9" customFormat="1" ht="24" x14ac:dyDescent="0.2">
      <c r="A15" s="37" t="s">
        <v>209</v>
      </c>
      <c r="B15" s="18" t="s">
        <v>25</v>
      </c>
      <c r="C15" s="11" t="s">
        <v>55</v>
      </c>
      <c r="D15" s="18"/>
      <c r="E15" s="58">
        <v>42277</v>
      </c>
      <c r="F15" s="58">
        <v>42278</v>
      </c>
      <c r="G15" s="57" t="s">
        <v>22</v>
      </c>
      <c r="H15" s="39"/>
      <c r="I15" s="39"/>
      <c r="J15" s="40">
        <v>436.25</v>
      </c>
      <c r="K15" s="40">
        <v>157.71</v>
      </c>
      <c r="L15" s="40">
        <v>159</v>
      </c>
      <c r="M15" s="40">
        <v>20</v>
      </c>
      <c r="N15" s="40"/>
      <c r="O15" s="26">
        <f t="shared" si="1"/>
        <v>772.96</v>
      </c>
      <c r="P15" s="40"/>
      <c r="Q15" s="40"/>
      <c r="R15" s="26">
        <f>SUM(O15:P15:Q15)</f>
        <v>772.96</v>
      </c>
    </row>
    <row r="16" spans="1:19" s="9" customFormat="1" ht="24" x14ac:dyDescent="0.2">
      <c r="A16" s="37" t="s">
        <v>210</v>
      </c>
      <c r="B16" s="18" t="s">
        <v>25</v>
      </c>
      <c r="C16" s="11" t="s">
        <v>55</v>
      </c>
      <c r="D16" s="18"/>
      <c r="E16" s="58">
        <v>42277</v>
      </c>
      <c r="F16" s="58">
        <v>42278</v>
      </c>
      <c r="G16" s="57" t="s">
        <v>22</v>
      </c>
      <c r="H16" s="39"/>
      <c r="I16" s="39"/>
      <c r="J16" s="40"/>
      <c r="K16" s="40"/>
      <c r="L16" s="40">
        <v>159</v>
      </c>
      <c r="M16" s="40"/>
      <c r="N16" s="40"/>
      <c r="O16" s="26">
        <f t="shared" si="1"/>
        <v>159</v>
      </c>
      <c r="P16" s="40"/>
      <c r="Q16" s="40"/>
      <c r="R16" s="26">
        <f>SUM(O16:P16:Q16)</f>
        <v>159</v>
      </c>
    </row>
    <row r="17" spans="1:19" s="12" customFormat="1" ht="36" x14ac:dyDescent="0.2">
      <c r="A17" s="7" t="s">
        <v>31</v>
      </c>
      <c r="B17" s="14" t="s">
        <v>139</v>
      </c>
      <c r="C17" s="11" t="s">
        <v>55</v>
      </c>
      <c r="D17" s="18"/>
      <c r="E17" s="58">
        <v>42277</v>
      </c>
      <c r="F17" s="58">
        <v>42278</v>
      </c>
      <c r="G17" s="57" t="s">
        <v>22</v>
      </c>
      <c r="H17" s="52"/>
      <c r="I17" s="74"/>
      <c r="J17" s="28"/>
      <c r="K17" s="28">
        <v>13.1</v>
      </c>
      <c r="L17" s="28">
        <v>159</v>
      </c>
      <c r="M17" s="28"/>
      <c r="N17" s="28"/>
      <c r="O17" s="26">
        <f t="shared" si="1"/>
        <v>172.1</v>
      </c>
      <c r="P17" s="28"/>
      <c r="Q17" s="28"/>
      <c r="R17" s="26">
        <f>SUM(O17:Q17)</f>
        <v>172.1</v>
      </c>
    </row>
    <row r="18" spans="1:19" s="12" customFormat="1" ht="24" x14ac:dyDescent="0.2">
      <c r="A18" s="7" t="s">
        <v>211</v>
      </c>
      <c r="B18" s="14" t="s">
        <v>212</v>
      </c>
      <c r="C18" s="11" t="s">
        <v>55</v>
      </c>
      <c r="D18" s="18"/>
      <c r="E18" s="58">
        <v>42277</v>
      </c>
      <c r="F18" s="58">
        <v>42278</v>
      </c>
      <c r="G18" s="57" t="s">
        <v>22</v>
      </c>
      <c r="H18" s="52"/>
      <c r="I18" s="74"/>
      <c r="J18" s="28"/>
      <c r="K18" s="28"/>
      <c r="L18" s="28">
        <v>159</v>
      </c>
      <c r="M18" s="28"/>
      <c r="N18" s="28"/>
      <c r="O18" s="26">
        <f>SUM(J18:N18)</f>
        <v>159</v>
      </c>
      <c r="P18" s="28"/>
      <c r="Q18" s="28"/>
      <c r="R18" s="26">
        <f>SUM(O18:Q18)</f>
        <v>159</v>
      </c>
    </row>
    <row r="19" spans="1:19" s="9" customFormat="1" ht="48" x14ac:dyDescent="0.2">
      <c r="A19" s="37" t="s">
        <v>133</v>
      </c>
      <c r="B19" s="18" t="s">
        <v>204</v>
      </c>
      <c r="C19" s="11" t="s">
        <v>52</v>
      </c>
      <c r="D19" s="18" t="s">
        <v>213</v>
      </c>
      <c r="E19" s="58">
        <v>42316</v>
      </c>
      <c r="F19" s="58">
        <v>42320</v>
      </c>
      <c r="G19" s="57" t="s">
        <v>214</v>
      </c>
      <c r="H19" s="37"/>
      <c r="I19" s="37"/>
      <c r="J19" s="48">
        <v>576.46</v>
      </c>
      <c r="K19" s="54"/>
      <c r="L19" s="48"/>
      <c r="M19" s="48"/>
      <c r="N19" s="48"/>
      <c r="O19" s="47">
        <f>SUM(J19:N19)</f>
        <v>576.46</v>
      </c>
      <c r="P19" s="48"/>
      <c r="Q19" s="48"/>
      <c r="R19" s="47">
        <f>SUM(O19:Q19)</f>
        <v>576.46</v>
      </c>
      <c r="S19" s="49"/>
    </row>
    <row r="20" spans="1:19" s="12" customFormat="1" ht="51" customHeight="1" x14ac:dyDescent="0.2">
      <c r="A20" s="7" t="s">
        <v>31</v>
      </c>
      <c r="B20" s="14" t="s">
        <v>139</v>
      </c>
      <c r="C20" s="11" t="s">
        <v>52</v>
      </c>
      <c r="D20" s="18" t="s">
        <v>244</v>
      </c>
      <c r="E20" s="58">
        <v>42290</v>
      </c>
      <c r="F20" s="58">
        <v>42292</v>
      </c>
      <c r="G20" s="57" t="s">
        <v>215</v>
      </c>
      <c r="H20" s="52"/>
      <c r="I20" s="74"/>
      <c r="J20" s="28">
        <v>42</v>
      </c>
      <c r="K20" s="28"/>
      <c r="L20" s="28"/>
      <c r="M20" s="28"/>
      <c r="N20" s="28"/>
      <c r="O20" s="26">
        <f>SUM(J20:N20)</f>
        <v>42</v>
      </c>
      <c r="P20" s="28"/>
      <c r="Q20" s="28"/>
      <c r="R20" s="26">
        <f>SUM(O20:Q20)</f>
        <v>42</v>
      </c>
    </row>
  </sheetData>
  <pageMargins left="0.7" right="0.7" top="0.75" bottom="0.75" header="0.3" footer="0.3"/>
  <pageSetup scale="5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2"/>
  <sheetViews>
    <sheetView topLeftCell="A15" workbookViewId="0">
      <selection activeCell="C25" sqref="C25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4.625" customWidth="1"/>
    <col min="7" max="7" width="11" bestFit="1" customWidth="1"/>
    <col min="8" max="9" width="14.125" bestFit="1" customWidth="1"/>
  </cols>
  <sheetData>
    <row r="1" spans="1:18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218</v>
      </c>
      <c r="D2" s="8" t="s">
        <v>219</v>
      </c>
      <c r="E2" s="55">
        <v>42212</v>
      </c>
      <c r="F2" s="55">
        <v>42212</v>
      </c>
      <c r="G2" s="10" t="s">
        <v>18</v>
      </c>
      <c r="H2" s="74" t="s">
        <v>220</v>
      </c>
      <c r="I2" s="102">
        <v>1</v>
      </c>
      <c r="J2" s="27"/>
      <c r="K2" s="28">
        <v>74.400000000000006</v>
      </c>
      <c r="L2" s="27"/>
      <c r="M2" s="27">
        <v>19.91</v>
      </c>
      <c r="N2" s="27"/>
      <c r="O2" s="26">
        <f t="shared" ref="O2:O14" si="0">SUM(J2:N2)</f>
        <v>94.31</v>
      </c>
      <c r="P2" s="27"/>
      <c r="Q2" s="27"/>
      <c r="R2" s="26">
        <f t="shared" ref="R2:R13" si="1">SUM(O2:Q2)</f>
        <v>94.31</v>
      </c>
    </row>
    <row r="3" spans="1:18" s="12" customFormat="1" ht="24" x14ac:dyDescent="0.2">
      <c r="A3" s="10" t="s">
        <v>20</v>
      </c>
      <c r="B3" s="10" t="s">
        <v>21</v>
      </c>
      <c r="C3" s="8" t="s">
        <v>218</v>
      </c>
      <c r="D3" s="8" t="s">
        <v>221</v>
      </c>
      <c r="E3" s="55">
        <v>42255</v>
      </c>
      <c r="F3" s="55">
        <v>42255</v>
      </c>
      <c r="G3" s="10" t="s">
        <v>18</v>
      </c>
      <c r="H3" s="74"/>
      <c r="I3" s="102"/>
      <c r="J3" s="27"/>
      <c r="K3" s="28">
        <v>15</v>
      </c>
      <c r="L3" s="27"/>
      <c r="M3" s="27"/>
      <c r="N3" s="27"/>
      <c r="O3" s="26">
        <f t="shared" si="0"/>
        <v>15</v>
      </c>
      <c r="P3" s="27"/>
      <c r="Q3" s="27"/>
      <c r="R3" s="26">
        <f t="shared" si="1"/>
        <v>15</v>
      </c>
    </row>
    <row r="4" spans="1:18" s="12" customFormat="1" ht="24" x14ac:dyDescent="0.2">
      <c r="A4" s="10" t="s">
        <v>20</v>
      </c>
      <c r="B4" s="10" t="s">
        <v>21</v>
      </c>
      <c r="C4" s="8" t="s">
        <v>218</v>
      </c>
      <c r="D4" s="8" t="s">
        <v>222</v>
      </c>
      <c r="E4" s="55">
        <v>42284</v>
      </c>
      <c r="F4" s="55">
        <v>42284</v>
      </c>
      <c r="G4" s="10" t="s">
        <v>18</v>
      </c>
      <c r="H4" s="74"/>
      <c r="I4" s="102"/>
      <c r="J4" s="27"/>
      <c r="K4" s="28">
        <v>7.25</v>
      </c>
      <c r="L4" s="27"/>
      <c r="M4" s="27"/>
      <c r="N4" s="27"/>
      <c r="O4" s="26">
        <f t="shared" si="0"/>
        <v>7.25</v>
      </c>
      <c r="P4" s="27"/>
      <c r="Q4" s="27"/>
      <c r="R4" s="26">
        <f t="shared" si="1"/>
        <v>7.25</v>
      </c>
    </row>
    <row r="5" spans="1:18" s="12" customFormat="1" ht="36" x14ac:dyDescent="0.2">
      <c r="A5" s="10" t="s">
        <v>20</v>
      </c>
      <c r="B5" s="10" t="s">
        <v>21</v>
      </c>
      <c r="C5" s="8" t="s">
        <v>201</v>
      </c>
      <c r="D5" s="8" t="s">
        <v>223</v>
      </c>
      <c r="E5" s="55">
        <v>42294</v>
      </c>
      <c r="F5" s="55">
        <v>42294</v>
      </c>
      <c r="G5" s="10" t="s">
        <v>224</v>
      </c>
      <c r="H5" s="74"/>
      <c r="I5" s="102"/>
      <c r="J5" s="27"/>
      <c r="K5" s="28">
        <v>20</v>
      </c>
      <c r="L5" s="27"/>
      <c r="M5" s="27"/>
      <c r="N5" s="27"/>
      <c r="O5" s="26">
        <f t="shared" si="0"/>
        <v>20</v>
      </c>
      <c r="P5" s="27"/>
      <c r="Q5" s="27"/>
      <c r="R5" s="26">
        <f t="shared" si="1"/>
        <v>20</v>
      </c>
    </row>
    <row r="6" spans="1:18" s="12" customFormat="1" ht="36" x14ac:dyDescent="0.2">
      <c r="A6" s="10" t="s">
        <v>20</v>
      </c>
      <c r="B6" s="10" t="s">
        <v>21</v>
      </c>
      <c r="C6" s="8" t="s">
        <v>201</v>
      </c>
      <c r="D6" s="8" t="s">
        <v>225</v>
      </c>
      <c r="E6" s="55">
        <v>42304</v>
      </c>
      <c r="F6" s="55">
        <v>42304</v>
      </c>
      <c r="G6" s="10" t="s">
        <v>18</v>
      </c>
      <c r="H6" s="74"/>
      <c r="I6" s="102"/>
      <c r="J6" s="27"/>
      <c r="K6" s="28">
        <v>17.7</v>
      </c>
      <c r="L6" s="27"/>
      <c r="M6" s="27"/>
      <c r="N6" s="27"/>
      <c r="O6" s="26">
        <f t="shared" si="0"/>
        <v>17.7</v>
      </c>
      <c r="P6" s="27"/>
      <c r="Q6" s="27"/>
      <c r="R6" s="26">
        <f t="shared" si="1"/>
        <v>17.7</v>
      </c>
    </row>
    <row r="7" spans="1:18" s="12" customFormat="1" ht="24" x14ac:dyDescent="0.2">
      <c r="A7" s="10" t="s">
        <v>20</v>
      </c>
      <c r="B7" s="10" t="s">
        <v>21</v>
      </c>
      <c r="C7" s="8" t="s">
        <v>226</v>
      </c>
      <c r="D7" s="8" t="s">
        <v>227</v>
      </c>
      <c r="E7" s="55">
        <v>42275</v>
      </c>
      <c r="F7" s="55">
        <v>42275</v>
      </c>
      <c r="G7" s="10" t="s">
        <v>18</v>
      </c>
      <c r="H7" s="74"/>
      <c r="I7" s="102"/>
      <c r="J7" s="27"/>
      <c r="K7" s="28">
        <v>9.75</v>
      </c>
      <c r="L7" s="27"/>
      <c r="M7" s="27"/>
      <c r="N7" s="27"/>
      <c r="O7" s="26">
        <f t="shared" si="0"/>
        <v>9.75</v>
      </c>
      <c r="P7" s="27"/>
      <c r="Q7" s="27"/>
      <c r="R7" s="26">
        <f t="shared" si="1"/>
        <v>9.75</v>
      </c>
    </row>
    <row r="8" spans="1:18" s="12" customFormat="1" ht="36" x14ac:dyDescent="0.2">
      <c r="A8" s="10" t="s">
        <v>20</v>
      </c>
      <c r="B8" s="10" t="s">
        <v>21</v>
      </c>
      <c r="C8" s="8" t="s">
        <v>201</v>
      </c>
      <c r="D8" s="8" t="s">
        <v>228</v>
      </c>
      <c r="E8" s="55">
        <v>42282</v>
      </c>
      <c r="F8" s="55">
        <v>42282</v>
      </c>
      <c r="G8" s="10" t="s">
        <v>18</v>
      </c>
      <c r="H8" s="74"/>
      <c r="I8" s="102"/>
      <c r="J8" s="27"/>
      <c r="K8" s="28">
        <v>21.25</v>
      </c>
      <c r="L8" s="27"/>
      <c r="M8" s="27"/>
      <c r="N8" s="27"/>
      <c r="O8" s="26">
        <f t="shared" si="0"/>
        <v>21.25</v>
      </c>
      <c r="P8" s="27"/>
      <c r="Q8" s="27"/>
      <c r="R8" s="26">
        <f t="shared" si="1"/>
        <v>21.25</v>
      </c>
    </row>
    <row r="9" spans="1:18" s="12" customFormat="1" ht="24" x14ac:dyDescent="0.2">
      <c r="A9" s="10" t="s">
        <v>20</v>
      </c>
      <c r="B9" s="10" t="s">
        <v>21</v>
      </c>
      <c r="C9" s="8" t="s">
        <v>218</v>
      </c>
      <c r="D9" s="8" t="s">
        <v>229</v>
      </c>
      <c r="E9" s="55">
        <v>42300</v>
      </c>
      <c r="F9" s="55">
        <v>42300</v>
      </c>
      <c r="G9" s="10" t="s">
        <v>18</v>
      </c>
      <c r="H9" s="74"/>
      <c r="I9" s="102"/>
      <c r="J9" s="27"/>
      <c r="K9" s="28">
        <v>24</v>
      </c>
      <c r="L9" s="27"/>
      <c r="M9" s="27"/>
      <c r="N9" s="27"/>
      <c r="O9" s="26">
        <f t="shared" si="0"/>
        <v>24</v>
      </c>
      <c r="P9" s="27"/>
      <c r="Q9" s="27"/>
      <c r="R9" s="26">
        <f t="shared" si="1"/>
        <v>24</v>
      </c>
    </row>
    <row r="10" spans="1:18" s="12" customFormat="1" ht="24" x14ac:dyDescent="0.2">
      <c r="A10" s="10" t="s">
        <v>20</v>
      </c>
      <c r="B10" s="10" t="s">
        <v>21</v>
      </c>
      <c r="C10" s="8" t="s">
        <v>226</v>
      </c>
      <c r="D10" s="8" t="s">
        <v>230</v>
      </c>
      <c r="E10" s="55">
        <v>42298</v>
      </c>
      <c r="F10" s="55">
        <v>42298</v>
      </c>
      <c r="G10" s="10" t="s">
        <v>18</v>
      </c>
      <c r="H10" s="74"/>
      <c r="I10" s="102"/>
      <c r="J10" s="27"/>
      <c r="K10" s="28">
        <v>4.75</v>
      </c>
      <c r="L10" s="27"/>
      <c r="M10" s="27"/>
      <c r="N10" s="27"/>
      <c r="O10" s="26">
        <f t="shared" si="0"/>
        <v>4.75</v>
      </c>
      <c r="P10" s="27"/>
      <c r="Q10" s="27"/>
      <c r="R10" s="26">
        <f t="shared" si="1"/>
        <v>4.75</v>
      </c>
    </row>
    <row r="11" spans="1:18" s="12" customFormat="1" ht="24" x14ac:dyDescent="0.2">
      <c r="A11" s="10" t="s">
        <v>20</v>
      </c>
      <c r="B11" s="10" t="s">
        <v>21</v>
      </c>
      <c r="C11" s="8" t="s">
        <v>231</v>
      </c>
      <c r="D11" s="8" t="s">
        <v>232</v>
      </c>
      <c r="E11" s="55">
        <v>42305</v>
      </c>
      <c r="F11" s="55">
        <v>42305</v>
      </c>
      <c r="G11" s="10" t="s">
        <v>18</v>
      </c>
      <c r="H11" s="74"/>
      <c r="I11" s="102"/>
      <c r="J11" s="27"/>
      <c r="K11" s="28">
        <v>16</v>
      </c>
      <c r="L11" s="27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8" s="12" customFormat="1" ht="24" x14ac:dyDescent="0.2">
      <c r="A12" s="10" t="s">
        <v>20</v>
      </c>
      <c r="B12" s="10" t="s">
        <v>21</v>
      </c>
      <c r="C12" s="8" t="s">
        <v>226</v>
      </c>
      <c r="D12" s="8" t="s">
        <v>233</v>
      </c>
      <c r="E12" s="55">
        <v>42306</v>
      </c>
      <c r="F12" s="55">
        <v>42306</v>
      </c>
      <c r="G12" s="10" t="s">
        <v>18</v>
      </c>
      <c r="H12" s="74"/>
      <c r="I12" s="102"/>
      <c r="J12" s="27"/>
      <c r="K12" s="28">
        <v>8</v>
      </c>
      <c r="L12" s="27"/>
      <c r="M12" s="27"/>
      <c r="N12" s="27"/>
      <c r="O12" s="26">
        <f t="shared" si="0"/>
        <v>8</v>
      </c>
      <c r="P12" s="27"/>
      <c r="Q12" s="27"/>
      <c r="R12" s="26">
        <f t="shared" si="1"/>
        <v>8</v>
      </c>
    </row>
    <row r="13" spans="1:18" s="12" customFormat="1" ht="24" x14ac:dyDescent="0.2">
      <c r="A13" s="10" t="s">
        <v>20</v>
      </c>
      <c r="B13" s="10" t="s">
        <v>21</v>
      </c>
      <c r="C13" s="8" t="s">
        <v>55</v>
      </c>
      <c r="D13" s="8"/>
      <c r="E13" s="55">
        <v>42307</v>
      </c>
      <c r="F13" s="55">
        <v>42307</v>
      </c>
      <c r="G13" s="10" t="s">
        <v>22</v>
      </c>
      <c r="H13" s="74"/>
      <c r="I13" s="102"/>
      <c r="J13" s="27"/>
      <c r="K13" s="28">
        <v>92</v>
      </c>
      <c r="L13" s="27"/>
      <c r="M13" s="27"/>
      <c r="N13" s="27"/>
      <c r="O13" s="26">
        <f t="shared" si="0"/>
        <v>92</v>
      </c>
      <c r="P13" s="27"/>
      <c r="Q13" s="27"/>
      <c r="R13" s="26">
        <f t="shared" si="1"/>
        <v>92</v>
      </c>
    </row>
    <row r="14" spans="1:18" s="9" customFormat="1" ht="24" x14ac:dyDescent="0.2">
      <c r="A14" s="37" t="s">
        <v>1</v>
      </c>
      <c r="B14" s="18" t="s">
        <v>25</v>
      </c>
      <c r="C14" s="11" t="s">
        <v>55</v>
      </c>
      <c r="D14" s="18"/>
      <c r="E14" s="55">
        <v>42332</v>
      </c>
      <c r="F14" s="55">
        <v>42333</v>
      </c>
      <c r="G14" s="57" t="s">
        <v>18</v>
      </c>
      <c r="H14" s="39"/>
      <c r="I14" s="39"/>
      <c r="J14" s="40"/>
      <c r="K14" s="40">
        <v>180</v>
      </c>
      <c r="L14" s="40"/>
      <c r="M14" s="40">
        <v>8.75</v>
      </c>
      <c r="N14" s="40"/>
      <c r="O14" s="26">
        <f t="shared" si="0"/>
        <v>188.75</v>
      </c>
      <c r="P14" s="40"/>
      <c r="Q14" s="40"/>
      <c r="R14" s="26">
        <f>SUM(O14:P14:Q14)</f>
        <v>188.75</v>
      </c>
    </row>
    <row r="15" spans="1:18" s="12" customFormat="1" ht="24" x14ac:dyDescent="0.2">
      <c r="A15" s="7" t="s">
        <v>30</v>
      </c>
      <c r="B15" s="8" t="s">
        <v>25</v>
      </c>
      <c r="C15" s="11" t="s">
        <v>55</v>
      </c>
      <c r="D15" s="20"/>
      <c r="E15" s="55">
        <v>42277</v>
      </c>
      <c r="F15" s="55">
        <v>42278</v>
      </c>
      <c r="G15" s="10" t="s">
        <v>22</v>
      </c>
      <c r="H15" s="27"/>
      <c r="I15" s="74"/>
      <c r="J15" s="27"/>
      <c r="K15" s="28">
        <v>83.2</v>
      </c>
      <c r="L15" s="27"/>
      <c r="M15" s="27"/>
      <c r="N15" s="27"/>
      <c r="O15" s="26">
        <f t="shared" ref="O15:O26" si="2">SUM(J15:N15)</f>
        <v>83.2</v>
      </c>
      <c r="P15" s="27"/>
      <c r="Q15" s="27"/>
      <c r="R15" s="26">
        <f>SUM(O15:Q15)</f>
        <v>83.2</v>
      </c>
    </row>
    <row r="16" spans="1:18" s="12" customFormat="1" ht="24" x14ac:dyDescent="0.2">
      <c r="A16" s="7" t="s">
        <v>30</v>
      </c>
      <c r="B16" s="8" t="s">
        <v>25</v>
      </c>
      <c r="C16" s="11" t="s">
        <v>55</v>
      </c>
      <c r="D16" s="20"/>
      <c r="E16" s="55">
        <v>42332</v>
      </c>
      <c r="F16" s="55">
        <v>42333</v>
      </c>
      <c r="G16" s="10" t="s">
        <v>18</v>
      </c>
      <c r="H16" s="27"/>
      <c r="I16" s="74"/>
      <c r="J16" s="27"/>
      <c r="K16" s="28">
        <f>133.6+29</f>
        <v>162.6</v>
      </c>
      <c r="L16" s="27">
        <v>132.41999999999999</v>
      </c>
      <c r="M16" s="27"/>
      <c r="N16" s="27"/>
      <c r="O16" s="26">
        <f t="shared" si="2"/>
        <v>295.02</v>
      </c>
      <c r="P16" s="27"/>
      <c r="Q16" s="27"/>
      <c r="R16" s="26">
        <f>SUM(O16:Q16)</f>
        <v>295.02</v>
      </c>
    </row>
    <row r="17" spans="1:19" s="12" customFormat="1" ht="24" x14ac:dyDescent="0.2">
      <c r="A17" s="7" t="s">
        <v>234</v>
      </c>
      <c r="B17" s="8" t="s">
        <v>25</v>
      </c>
      <c r="C17" s="11" t="s">
        <v>55</v>
      </c>
      <c r="D17" s="20"/>
      <c r="E17" s="55">
        <v>42332</v>
      </c>
      <c r="F17" s="55">
        <v>42333</v>
      </c>
      <c r="G17" s="10" t="s">
        <v>18</v>
      </c>
      <c r="H17" s="27"/>
      <c r="I17" s="74"/>
      <c r="J17" s="27"/>
      <c r="K17" s="28">
        <v>29</v>
      </c>
      <c r="L17" s="27">
        <v>132.41999999999999</v>
      </c>
      <c r="M17" s="27"/>
      <c r="N17" s="27"/>
      <c r="O17" s="26">
        <f t="shared" si="2"/>
        <v>161.41999999999999</v>
      </c>
      <c r="P17" s="27"/>
      <c r="Q17" s="27"/>
      <c r="R17" s="26">
        <f>SUM(O17:Q17)</f>
        <v>161.41999999999999</v>
      </c>
    </row>
    <row r="18" spans="1:19" s="9" customFormat="1" ht="24" x14ac:dyDescent="0.2">
      <c r="A18" s="37" t="s">
        <v>1</v>
      </c>
      <c r="B18" s="18" t="s">
        <v>25</v>
      </c>
      <c r="C18" s="11" t="s">
        <v>55</v>
      </c>
      <c r="D18" s="18"/>
      <c r="E18" s="55">
        <v>42332</v>
      </c>
      <c r="F18" s="55">
        <v>42333</v>
      </c>
      <c r="G18" s="57" t="s">
        <v>18</v>
      </c>
      <c r="H18" s="39"/>
      <c r="I18" s="39"/>
      <c r="J18" s="40"/>
      <c r="K18" s="40">
        <v>139.19999999999999</v>
      </c>
      <c r="L18" s="40">
        <v>132.41999999999999</v>
      </c>
      <c r="M18" s="40">
        <v>7.75</v>
      </c>
      <c r="N18" s="40"/>
      <c r="O18" s="26">
        <f t="shared" si="2"/>
        <v>279.37</v>
      </c>
      <c r="P18" s="40"/>
      <c r="Q18" s="40"/>
      <c r="R18" s="26">
        <f>SUM(O18:P18:Q18)</f>
        <v>279.37</v>
      </c>
    </row>
    <row r="19" spans="1:19" s="9" customFormat="1" ht="24" x14ac:dyDescent="0.2">
      <c r="A19" s="37" t="s">
        <v>209</v>
      </c>
      <c r="B19" s="18" t="s">
        <v>25</v>
      </c>
      <c r="C19" s="11" t="s">
        <v>55</v>
      </c>
      <c r="D19" s="18"/>
      <c r="E19" s="55">
        <v>42332</v>
      </c>
      <c r="F19" s="55">
        <v>42333</v>
      </c>
      <c r="G19" s="57" t="s">
        <v>18</v>
      </c>
      <c r="H19" s="39"/>
      <c r="I19" s="39"/>
      <c r="J19" s="40"/>
      <c r="K19" s="40"/>
      <c r="L19" s="40">
        <v>132.41999999999999</v>
      </c>
      <c r="M19" s="40"/>
      <c r="N19" s="40"/>
      <c r="O19" s="26">
        <f t="shared" si="2"/>
        <v>132.41999999999999</v>
      </c>
      <c r="P19" s="40"/>
      <c r="Q19" s="40"/>
      <c r="R19" s="26">
        <f>SUM(O19:P19:Q19)</f>
        <v>132.41999999999999</v>
      </c>
    </row>
    <row r="20" spans="1:19" s="9" customFormat="1" ht="24" x14ac:dyDescent="0.2">
      <c r="A20" s="37" t="s">
        <v>50</v>
      </c>
      <c r="B20" s="18" t="s">
        <v>25</v>
      </c>
      <c r="C20" s="11" t="s">
        <v>55</v>
      </c>
      <c r="D20" s="18"/>
      <c r="E20" s="58">
        <v>42277</v>
      </c>
      <c r="F20" s="58">
        <v>42278</v>
      </c>
      <c r="G20" s="57" t="s">
        <v>18</v>
      </c>
      <c r="H20" s="39"/>
      <c r="I20" s="39"/>
      <c r="J20" s="40"/>
      <c r="K20" s="40">
        <v>29</v>
      </c>
      <c r="L20" s="40">
        <v>132.41999999999999</v>
      </c>
      <c r="M20" s="40"/>
      <c r="N20" s="40"/>
      <c r="O20" s="26">
        <f t="shared" si="2"/>
        <v>161.41999999999999</v>
      </c>
      <c r="P20" s="40"/>
      <c r="Q20" s="40"/>
      <c r="R20" s="26">
        <f>SUM(O20:P20:Q20)</f>
        <v>161.41999999999999</v>
      </c>
    </row>
    <row r="21" spans="1:19" s="9" customFormat="1" ht="24" x14ac:dyDescent="0.2">
      <c r="A21" s="37" t="s">
        <v>48</v>
      </c>
      <c r="B21" s="18" t="s">
        <v>25</v>
      </c>
      <c r="C21" s="11" t="s">
        <v>55</v>
      </c>
      <c r="D21" s="18"/>
      <c r="E21" s="55">
        <v>42332</v>
      </c>
      <c r="F21" s="55">
        <v>42333</v>
      </c>
      <c r="G21" s="57" t="s">
        <v>18</v>
      </c>
      <c r="H21" s="39"/>
      <c r="I21" s="39"/>
      <c r="J21" s="40"/>
      <c r="K21" s="40">
        <f>15+65</f>
        <v>80</v>
      </c>
      <c r="L21" s="40"/>
      <c r="M21" s="40"/>
      <c r="N21" s="40"/>
      <c r="O21" s="26">
        <f t="shared" si="2"/>
        <v>80</v>
      </c>
      <c r="P21" s="40"/>
      <c r="Q21" s="40"/>
      <c r="R21" s="26">
        <f>SUM(O21:P21:Q21)</f>
        <v>80</v>
      </c>
    </row>
    <row r="22" spans="1:19" s="9" customFormat="1" ht="36" x14ac:dyDescent="0.2">
      <c r="A22" s="37" t="s">
        <v>1</v>
      </c>
      <c r="B22" s="18" t="s">
        <v>25</v>
      </c>
      <c r="C22" s="11" t="s">
        <v>235</v>
      </c>
      <c r="D22" s="18"/>
      <c r="E22" s="55">
        <v>42327</v>
      </c>
      <c r="F22" s="55">
        <v>42327</v>
      </c>
      <c r="G22" s="57" t="s">
        <v>18</v>
      </c>
      <c r="H22" s="39"/>
      <c r="I22" s="39"/>
      <c r="J22" s="40"/>
      <c r="K22" s="40">
        <v>139.19999999999999</v>
      </c>
      <c r="L22" s="40"/>
      <c r="M22" s="40">
        <v>7.75</v>
      </c>
      <c r="N22" s="40"/>
      <c r="O22" s="26">
        <f t="shared" si="2"/>
        <v>146.94999999999999</v>
      </c>
      <c r="P22" s="40"/>
      <c r="Q22" s="40"/>
      <c r="R22" s="26">
        <f>SUM(O22:P22:Q22)</f>
        <v>146.94999999999999</v>
      </c>
    </row>
    <row r="23" spans="1:19" s="9" customFormat="1" ht="48" x14ac:dyDescent="0.2">
      <c r="A23" s="7" t="s">
        <v>30</v>
      </c>
      <c r="B23" s="8" t="s">
        <v>25</v>
      </c>
      <c r="C23" s="8" t="s">
        <v>56</v>
      </c>
      <c r="D23" s="20"/>
      <c r="E23" s="55">
        <v>42320</v>
      </c>
      <c r="F23" s="55">
        <v>42321</v>
      </c>
      <c r="G23" s="13" t="s">
        <v>18</v>
      </c>
      <c r="H23" s="7"/>
      <c r="I23" s="7"/>
      <c r="J23" s="46"/>
      <c r="K23" s="46">
        <f>35+83.2</f>
        <v>118.2</v>
      </c>
      <c r="L23" s="46">
        <v>183.76</v>
      </c>
      <c r="M23" s="46"/>
      <c r="N23" s="46"/>
      <c r="O23" s="47">
        <f t="shared" si="2"/>
        <v>301.95999999999998</v>
      </c>
      <c r="P23" s="46"/>
      <c r="Q23" s="46"/>
      <c r="R23" s="47">
        <f>SUM(O23:P23:Q23)</f>
        <v>301.95999999999998</v>
      </c>
    </row>
    <row r="24" spans="1:19" s="9" customFormat="1" ht="24" x14ac:dyDescent="0.2">
      <c r="A24" s="10" t="s">
        <v>38</v>
      </c>
      <c r="B24" s="13" t="s">
        <v>168</v>
      </c>
      <c r="C24" s="8" t="s">
        <v>226</v>
      </c>
      <c r="D24" s="13" t="s">
        <v>236</v>
      </c>
      <c r="E24" s="55">
        <v>42298</v>
      </c>
      <c r="F24" s="55">
        <v>42298</v>
      </c>
      <c r="G24" s="13" t="s">
        <v>18</v>
      </c>
      <c r="H24" s="27"/>
      <c r="I24" s="74"/>
      <c r="J24" s="28"/>
      <c r="K24" s="28">
        <v>14</v>
      </c>
      <c r="L24" s="28"/>
      <c r="M24" s="28"/>
      <c r="N24" s="28"/>
      <c r="O24" s="26">
        <f t="shared" si="2"/>
        <v>14</v>
      </c>
      <c r="P24" s="28"/>
      <c r="Q24" s="28"/>
      <c r="R24" s="26">
        <f t="shared" ref="R24:R33" si="3">SUM(O24:Q24)</f>
        <v>14</v>
      </c>
    </row>
    <row r="25" spans="1:19" s="9" customFormat="1" ht="24" x14ac:dyDescent="0.2">
      <c r="A25" s="10" t="s">
        <v>38</v>
      </c>
      <c r="B25" s="13" t="s">
        <v>168</v>
      </c>
      <c r="C25" s="8" t="s">
        <v>226</v>
      </c>
      <c r="D25" s="13" t="s">
        <v>237</v>
      </c>
      <c r="E25" s="55">
        <v>42292</v>
      </c>
      <c r="F25" s="55">
        <v>42292</v>
      </c>
      <c r="G25" s="13" t="s">
        <v>18</v>
      </c>
      <c r="H25" s="27"/>
      <c r="I25" s="74"/>
      <c r="J25" s="28"/>
      <c r="K25" s="28">
        <v>6</v>
      </c>
      <c r="L25" s="28"/>
      <c r="M25" s="28"/>
      <c r="N25" s="28"/>
      <c r="O25" s="26">
        <f t="shared" si="2"/>
        <v>6</v>
      </c>
      <c r="P25" s="28"/>
      <c r="Q25" s="28"/>
      <c r="R25" s="26">
        <f t="shared" si="3"/>
        <v>6</v>
      </c>
    </row>
    <row r="26" spans="1:19" s="9" customFormat="1" ht="24" x14ac:dyDescent="0.2">
      <c r="A26" s="10" t="s">
        <v>38</v>
      </c>
      <c r="B26" s="13" t="s">
        <v>168</v>
      </c>
      <c r="C26" s="8" t="s">
        <v>238</v>
      </c>
      <c r="D26" s="13"/>
      <c r="E26" s="55">
        <v>42313</v>
      </c>
      <c r="F26" s="55">
        <v>42313</v>
      </c>
      <c r="G26" s="13" t="s">
        <v>47</v>
      </c>
      <c r="H26" s="27"/>
      <c r="I26" s="74"/>
      <c r="J26" s="28">
        <v>517.25</v>
      </c>
      <c r="K26" s="28"/>
      <c r="L26" s="28"/>
      <c r="M26" s="28"/>
      <c r="N26" s="28"/>
      <c r="O26" s="26">
        <f t="shared" si="2"/>
        <v>517.25</v>
      </c>
      <c r="P26" s="28"/>
      <c r="Q26" s="28"/>
      <c r="R26" s="26">
        <f t="shared" si="3"/>
        <v>517.25</v>
      </c>
    </row>
    <row r="27" spans="1:19" s="9" customFormat="1" ht="24" x14ac:dyDescent="0.2">
      <c r="A27" s="37" t="s">
        <v>2</v>
      </c>
      <c r="B27" s="18" t="s">
        <v>191</v>
      </c>
      <c r="C27" s="8" t="s">
        <v>238</v>
      </c>
      <c r="D27" s="18"/>
      <c r="E27" s="55">
        <v>42320</v>
      </c>
      <c r="F27" s="55">
        <v>42320</v>
      </c>
      <c r="G27" s="57" t="s">
        <v>239</v>
      </c>
      <c r="H27" s="37"/>
      <c r="I27" s="37"/>
      <c r="J27" s="48"/>
      <c r="K27" s="54">
        <v>96.4</v>
      </c>
      <c r="L27" s="48"/>
      <c r="M27" s="48"/>
      <c r="N27" s="48"/>
      <c r="O27" s="47">
        <f t="shared" ref="O27:O34" si="4">SUM(J27:N27)</f>
        <v>96.4</v>
      </c>
      <c r="P27" s="48"/>
      <c r="Q27" s="48"/>
      <c r="R27" s="47">
        <f t="shared" si="3"/>
        <v>96.4</v>
      </c>
      <c r="S27" s="49"/>
    </row>
    <row r="28" spans="1:19" s="9" customFormat="1" ht="48" x14ac:dyDescent="0.2">
      <c r="A28" s="37" t="s">
        <v>133</v>
      </c>
      <c r="B28" s="18" t="s">
        <v>204</v>
      </c>
      <c r="C28" s="11" t="s">
        <v>240</v>
      </c>
      <c r="D28" s="18" t="s">
        <v>241</v>
      </c>
      <c r="E28" s="58">
        <v>42297</v>
      </c>
      <c r="F28" s="58">
        <v>42297</v>
      </c>
      <c r="G28" s="57" t="s">
        <v>18</v>
      </c>
      <c r="H28" s="37"/>
      <c r="I28" s="37"/>
      <c r="J28" s="48"/>
      <c r="K28" s="54">
        <v>10.25</v>
      </c>
      <c r="L28" s="48"/>
      <c r="M28" s="48"/>
      <c r="N28" s="48"/>
      <c r="O28" s="47">
        <f t="shared" si="4"/>
        <v>10.25</v>
      </c>
      <c r="P28" s="48"/>
      <c r="Q28" s="48"/>
      <c r="R28" s="47">
        <f t="shared" si="3"/>
        <v>10.25</v>
      </c>
      <c r="S28" s="49"/>
    </row>
    <row r="29" spans="1:19" s="9" customFormat="1" ht="48" x14ac:dyDescent="0.2">
      <c r="A29" s="37" t="s">
        <v>133</v>
      </c>
      <c r="B29" s="18" t="s">
        <v>204</v>
      </c>
      <c r="C29" s="11" t="s">
        <v>240</v>
      </c>
      <c r="D29" s="18" t="s">
        <v>242</v>
      </c>
      <c r="E29" s="58">
        <v>42283</v>
      </c>
      <c r="F29" s="58">
        <v>42283</v>
      </c>
      <c r="G29" s="57" t="s">
        <v>18</v>
      </c>
      <c r="H29" s="37"/>
      <c r="I29" s="37"/>
      <c r="J29" s="48"/>
      <c r="K29" s="54">
        <v>12</v>
      </c>
      <c r="L29" s="48"/>
      <c r="M29" s="48"/>
      <c r="N29" s="48"/>
      <c r="O29" s="47">
        <f t="shared" si="4"/>
        <v>12</v>
      </c>
      <c r="P29" s="48"/>
      <c r="Q29" s="48"/>
      <c r="R29" s="47">
        <f t="shared" si="3"/>
        <v>12</v>
      </c>
      <c r="S29" s="49"/>
    </row>
    <row r="30" spans="1:19" s="9" customFormat="1" ht="48" x14ac:dyDescent="0.2">
      <c r="A30" s="37" t="s">
        <v>133</v>
      </c>
      <c r="B30" s="18" t="s">
        <v>204</v>
      </c>
      <c r="C30" s="8" t="s">
        <v>226</v>
      </c>
      <c r="D30" s="13" t="s">
        <v>236</v>
      </c>
      <c r="E30" s="55">
        <v>42298</v>
      </c>
      <c r="F30" s="55">
        <v>42298</v>
      </c>
      <c r="G30" s="57" t="s">
        <v>18</v>
      </c>
      <c r="H30" s="37"/>
      <c r="I30" s="37"/>
      <c r="J30" s="48"/>
      <c r="K30" s="54">
        <v>14</v>
      </c>
      <c r="L30" s="48"/>
      <c r="M30" s="48"/>
      <c r="N30" s="48"/>
      <c r="O30" s="47">
        <f t="shared" si="4"/>
        <v>14</v>
      </c>
      <c r="P30" s="48"/>
      <c r="Q30" s="48"/>
      <c r="R30" s="47">
        <f t="shared" si="3"/>
        <v>14</v>
      </c>
      <c r="S30" s="49"/>
    </row>
    <row r="31" spans="1:19" s="9" customFormat="1" ht="48" x14ac:dyDescent="0.2">
      <c r="A31" s="37" t="s">
        <v>133</v>
      </c>
      <c r="B31" s="18" t="s">
        <v>204</v>
      </c>
      <c r="C31" s="8" t="s">
        <v>231</v>
      </c>
      <c r="D31" s="8" t="s">
        <v>243</v>
      </c>
      <c r="E31" s="55">
        <v>42305</v>
      </c>
      <c r="F31" s="55">
        <v>42305</v>
      </c>
      <c r="G31" s="57" t="s">
        <v>18</v>
      </c>
      <c r="H31" s="37"/>
      <c r="I31" s="37"/>
      <c r="J31" s="48"/>
      <c r="K31" s="54">
        <v>35</v>
      </c>
      <c r="L31" s="48"/>
      <c r="M31" s="48"/>
      <c r="N31" s="48"/>
      <c r="O31" s="47">
        <f t="shared" si="4"/>
        <v>35</v>
      </c>
      <c r="P31" s="48"/>
      <c r="Q31" s="48"/>
      <c r="R31" s="47">
        <f t="shared" si="3"/>
        <v>35</v>
      </c>
      <c r="S31" s="49"/>
    </row>
    <row r="32" spans="1:19" s="12" customFormat="1" ht="36" x14ac:dyDescent="0.2">
      <c r="A32" s="7" t="s">
        <v>31</v>
      </c>
      <c r="B32" s="14" t="s">
        <v>139</v>
      </c>
      <c r="C32" s="11" t="s">
        <v>52</v>
      </c>
      <c r="D32" s="18" t="s">
        <v>244</v>
      </c>
      <c r="E32" s="58">
        <v>42290</v>
      </c>
      <c r="F32" s="58">
        <v>42292</v>
      </c>
      <c r="G32" s="57" t="s">
        <v>215</v>
      </c>
      <c r="H32" s="52"/>
      <c r="I32" s="74"/>
      <c r="J32" s="28"/>
      <c r="K32" s="28">
        <v>55</v>
      </c>
      <c r="L32" s="28">
        <v>599.66999999999996</v>
      </c>
      <c r="M32" s="28"/>
      <c r="N32" s="28"/>
      <c r="O32" s="26">
        <f t="shared" si="4"/>
        <v>654.66999999999996</v>
      </c>
      <c r="P32" s="28"/>
      <c r="Q32" s="28"/>
      <c r="R32" s="26">
        <f t="shared" si="3"/>
        <v>654.66999999999996</v>
      </c>
    </row>
    <row r="33" spans="1:18" s="12" customFormat="1" ht="36" x14ac:dyDescent="0.2">
      <c r="A33" s="7" t="s">
        <v>31</v>
      </c>
      <c r="B33" s="14" t="s">
        <v>139</v>
      </c>
      <c r="C33" s="11" t="s">
        <v>52</v>
      </c>
      <c r="D33" s="18" t="s">
        <v>245</v>
      </c>
      <c r="E33" s="58">
        <v>42324</v>
      </c>
      <c r="F33" s="58">
        <v>42325</v>
      </c>
      <c r="G33" s="57" t="s">
        <v>246</v>
      </c>
      <c r="H33" s="52"/>
      <c r="I33" s="74"/>
      <c r="J33" s="28">
        <v>326.55</v>
      </c>
      <c r="K33" s="28"/>
      <c r="L33" s="28">
        <v>137.71</v>
      </c>
      <c r="M33" s="28"/>
      <c r="N33" s="28"/>
      <c r="O33" s="26">
        <f t="shared" si="4"/>
        <v>464.26</v>
      </c>
      <c r="P33" s="28"/>
      <c r="Q33" s="28"/>
      <c r="R33" s="26">
        <f t="shared" si="3"/>
        <v>464.26</v>
      </c>
    </row>
    <row r="34" spans="1:18" s="9" customFormat="1" ht="24" x14ac:dyDescent="0.2">
      <c r="A34" s="7" t="s">
        <v>30</v>
      </c>
      <c r="B34" s="8" t="s">
        <v>25</v>
      </c>
      <c r="C34" s="8" t="s">
        <v>247</v>
      </c>
      <c r="D34" s="20"/>
      <c r="E34" s="55">
        <v>42326</v>
      </c>
      <c r="F34" s="55">
        <v>42327</v>
      </c>
      <c r="G34" s="13" t="s">
        <v>18</v>
      </c>
      <c r="H34" s="7"/>
      <c r="I34" s="7"/>
      <c r="J34" s="46"/>
      <c r="K34" s="46">
        <f>35+83.2</f>
        <v>118.2</v>
      </c>
      <c r="L34" s="46">
        <v>194.03</v>
      </c>
      <c r="M34" s="46"/>
      <c r="N34" s="46"/>
      <c r="O34" s="47">
        <f t="shared" si="4"/>
        <v>312.23</v>
      </c>
      <c r="P34" s="46"/>
      <c r="Q34" s="46"/>
      <c r="R34" s="47">
        <f>SUM(O34:P34:Q34)</f>
        <v>312.23</v>
      </c>
    </row>
    <row r="35" spans="1:18" s="9" customFormat="1" ht="48" x14ac:dyDescent="0.2">
      <c r="A35" s="7" t="s">
        <v>248</v>
      </c>
      <c r="B35" s="14" t="s">
        <v>249</v>
      </c>
      <c r="C35" s="8" t="s">
        <v>72</v>
      </c>
      <c r="D35" s="20"/>
      <c r="E35" s="55">
        <v>42313</v>
      </c>
      <c r="F35" s="55">
        <v>42314</v>
      </c>
      <c r="G35" s="13" t="s">
        <v>250</v>
      </c>
      <c r="H35" s="7"/>
      <c r="I35" s="7"/>
      <c r="J35" s="46"/>
      <c r="K35" s="46"/>
      <c r="L35" s="46">
        <v>305.95999999999998</v>
      </c>
      <c r="M35" s="46"/>
      <c r="N35" s="46"/>
      <c r="O35" s="47">
        <f t="shared" ref="O35:O42" si="5">SUM(J35:N35)</f>
        <v>305.95999999999998</v>
      </c>
      <c r="P35" s="46"/>
      <c r="Q35" s="46"/>
      <c r="R35" s="47">
        <f t="shared" ref="R35:R42" si="6">SUM(O35:Q35)</f>
        <v>305.95999999999998</v>
      </c>
    </row>
    <row r="36" spans="1:18" s="9" customFormat="1" ht="48" x14ac:dyDescent="0.2">
      <c r="A36" s="7" t="s">
        <v>248</v>
      </c>
      <c r="B36" s="14" t="s">
        <v>249</v>
      </c>
      <c r="C36" s="8" t="s">
        <v>72</v>
      </c>
      <c r="D36" s="20"/>
      <c r="E36" s="55">
        <v>42314</v>
      </c>
      <c r="F36" s="55">
        <v>42315</v>
      </c>
      <c r="G36" s="13" t="s">
        <v>118</v>
      </c>
      <c r="H36" s="7"/>
      <c r="I36" s="7"/>
      <c r="J36" s="46"/>
      <c r="K36" s="46"/>
      <c r="L36" s="46">
        <v>119</v>
      </c>
      <c r="M36" s="46"/>
      <c r="N36" s="46"/>
      <c r="O36" s="47">
        <f t="shared" si="5"/>
        <v>119</v>
      </c>
      <c r="P36" s="46"/>
      <c r="Q36" s="46"/>
      <c r="R36" s="47">
        <f t="shared" si="6"/>
        <v>119</v>
      </c>
    </row>
    <row r="37" spans="1:18" s="9" customFormat="1" ht="48" x14ac:dyDescent="0.2">
      <c r="A37" s="7" t="s">
        <v>248</v>
      </c>
      <c r="B37" s="14" t="s">
        <v>249</v>
      </c>
      <c r="C37" s="8" t="s">
        <v>72</v>
      </c>
      <c r="D37" s="20"/>
      <c r="E37" s="55">
        <v>42316</v>
      </c>
      <c r="F37" s="55">
        <v>42317</v>
      </c>
      <c r="G37" s="13" t="s">
        <v>250</v>
      </c>
      <c r="H37" s="7"/>
      <c r="I37" s="7"/>
      <c r="J37" s="46"/>
      <c r="K37" s="46"/>
      <c r="L37" s="46">
        <v>152.96</v>
      </c>
      <c r="M37" s="46"/>
      <c r="N37" s="46"/>
      <c r="O37" s="47">
        <f t="shared" si="5"/>
        <v>152.96</v>
      </c>
      <c r="P37" s="46"/>
      <c r="Q37" s="46"/>
      <c r="R37" s="47">
        <f t="shared" si="6"/>
        <v>152.96</v>
      </c>
    </row>
    <row r="38" spans="1:18" s="9" customFormat="1" ht="48" x14ac:dyDescent="0.2">
      <c r="A38" s="7" t="s">
        <v>248</v>
      </c>
      <c r="B38" s="14" t="s">
        <v>249</v>
      </c>
      <c r="C38" s="8" t="s">
        <v>72</v>
      </c>
      <c r="D38" s="20"/>
      <c r="E38" s="55">
        <v>42317</v>
      </c>
      <c r="F38" s="55">
        <v>42318</v>
      </c>
      <c r="G38" s="13" t="s">
        <v>251</v>
      </c>
      <c r="H38" s="7"/>
      <c r="I38" s="7"/>
      <c r="J38" s="46"/>
      <c r="K38" s="46">
        <v>82.5</v>
      </c>
      <c r="L38" s="46">
        <v>138</v>
      </c>
      <c r="M38" s="46"/>
      <c r="N38" s="46"/>
      <c r="O38" s="47">
        <f t="shared" si="5"/>
        <v>220.5</v>
      </c>
      <c r="P38" s="46"/>
      <c r="Q38" s="46"/>
      <c r="R38" s="47">
        <f t="shared" si="6"/>
        <v>220.5</v>
      </c>
    </row>
    <row r="39" spans="1:18" s="9" customFormat="1" ht="48" x14ac:dyDescent="0.2">
      <c r="A39" s="7" t="s">
        <v>248</v>
      </c>
      <c r="B39" s="14" t="s">
        <v>249</v>
      </c>
      <c r="C39" s="8" t="s">
        <v>72</v>
      </c>
      <c r="D39" s="20"/>
      <c r="E39" s="55">
        <v>42318</v>
      </c>
      <c r="F39" s="55">
        <v>42319</v>
      </c>
      <c r="G39" s="13" t="s">
        <v>18</v>
      </c>
      <c r="H39" s="7"/>
      <c r="I39" s="7"/>
      <c r="J39" s="46"/>
      <c r="K39" s="46"/>
      <c r="L39" s="46">
        <v>152.96</v>
      </c>
      <c r="M39" s="46"/>
      <c r="N39" s="46"/>
      <c r="O39" s="47">
        <f t="shared" si="5"/>
        <v>152.96</v>
      </c>
      <c r="P39" s="46"/>
      <c r="Q39" s="46"/>
      <c r="R39" s="47">
        <f t="shared" si="6"/>
        <v>152.96</v>
      </c>
    </row>
    <row r="40" spans="1:18" s="9" customFormat="1" ht="48" x14ac:dyDescent="0.2">
      <c r="A40" s="7" t="s">
        <v>248</v>
      </c>
      <c r="B40" s="14" t="s">
        <v>249</v>
      </c>
      <c r="C40" s="8" t="s">
        <v>72</v>
      </c>
      <c r="D40" s="20"/>
      <c r="E40" s="55">
        <v>42320</v>
      </c>
      <c r="F40" s="55">
        <v>42321</v>
      </c>
      <c r="G40" s="13" t="s">
        <v>250</v>
      </c>
      <c r="H40" s="7"/>
      <c r="I40" s="7"/>
      <c r="J40" s="46"/>
      <c r="K40" s="46"/>
      <c r="L40" s="46">
        <v>152.96</v>
      </c>
      <c r="M40" s="46"/>
      <c r="N40" s="46"/>
      <c r="O40" s="47">
        <f t="shared" si="5"/>
        <v>152.96</v>
      </c>
      <c r="P40" s="46"/>
      <c r="Q40" s="46"/>
      <c r="R40" s="47">
        <f t="shared" si="6"/>
        <v>152.96</v>
      </c>
    </row>
    <row r="41" spans="1:18" s="9" customFormat="1" ht="48" x14ac:dyDescent="0.2">
      <c r="A41" s="7" t="s">
        <v>248</v>
      </c>
      <c r="B41" s="14" t="s">
        <v>249</v>
      </c>
      <c r="C41" s="8" t="s">
        <v>72</v>
      </c>
      <c r="D41" s="20"/>
      <c r="E41" s="55">
        <v>42322</v>
      </c>
      <c r="F41" s="55">
        <v>42327</v>
      </c>
      <c r="G41" s="13" t="s">
        <v>250</v>
      </c>
      <c r="H41" s="7"/>
      <c r="I41" s="7"/>
      <c r="J41" s="46"/>
      <c r="K41" s="46"/>
      <c r="L41" s="46">
        <v>764.8</v>
      </c>
      <c r="M41" s="46"/>
      <c r="N41" s="46"/>
      <c r="O41" s="47">
        <f t="shared" si="5"/>
        <v>764.8</v>
      </c>
      <c r="P41" s="46"/>
      <c r="Q41" s="46"/>
      <c r="R41" s="47">
        <f t="shared" si="6"/>
        <v>764.8</v>
      </c>
    </row>
    <row r="42" spans="1:18" s="9" customFormat="1" ht="48" x14ac:dyDescent="0.2">
      <c r="A42" s="7" t="s">
        <v>248</v>
      </c>
      <c r="B42" s="14" t="s">
        <v>249</v>
      </c>
      <c r="C42" s="8" t="s">
        <v>72</v>
      </c>
      <c r="D42" s="20"/>
      <c r="E42" s="55">
        <v>42330</v>
      </c>
      <c r="F42" s="55">
        <v>42334</v>
      </c>
      <c r="G42" s="13" t="s">
        <v>250</v>
      </c>
      <c r="H42" s="7"/>
      <c r="I42" s="7"/>
      <c r="J42" s="46"/>
      <c r="K42" s="46"/>
      <c r="L42" s="46">
        <v>611.84</v>
      </c>
      <c r="M42" s="46"/>
      <c r="N42" s="46"/>
      <c r="O42" s="47">
        <f t="shared" si="5"/>
        <v>611.84</v>
      </c>
      <c r="P42" s="46"/>
      <c r="Q42" s="46"/>
      <c r="R42" s="47">
        <f t="shared" si="6"/>
        <v>611.84</v>
      </c>
    </row>
  </sheetData>
  <pageMargins left="0.7" right="0.7" top="0.75" bottom="0.75" header="0.3" footer="0.3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3"/>
  <sheetViews>
    <sheetView zoomScale="85" zoomScaleNormal="85" workbookViewId="0">
      <selection activeCell="D10" sqref="D10"/>
    </sheetView>
  </sheetViews>
  <sheetFormatPr defaultRowHeight="14.25" x14ac:dyDescent="0.2"/>
  <cols>
    <col min="3" max="3" width="35" customWidth="1"/>
    <col min="4" max="4" width="43.3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186</v>
      </c>
      <c r="D2" s="8" t="s">
        <v>252</v>
      </c>
      <c r="E2" s="55">
        <v>42297</v>
      </c>
      <c r="F2" s="55">
        <v>42297</v>
      </c>
      <c r="G2" s="10" t="s">
        <v>18</v>
      </c>
      <c r="H2" s="74"/>
      <c r="I2" s="102"/>
      <c r="J2" s="27"/>
      <c r="K2" s="28">
        <v>13</v>
      </c>
      <c r="L2" s="27"/>
      <c r="M2" s="27"/>
      <c r="N2" s="27"/>
      <c r="O2" s="26">
        <f t="shared" ref="O2:O11" si="0">SUM(J2:N2)</f>
        <v>13</v>
      </c>
      <c r="P2" s="27"/>
      <c r="Q2" s="27"/>
      <c r="R2" s="26">
        <f>SUM(O2:Q2)</f>
        <v>13</v>
      </c>
    </row>
    <row r="3" spans="1:19" s="12" customFormat="1" ht="12" x14ac:dyDescent="0.2">
      <c r="A3" s="10" t="s">
        <v>20</v>
      </c>
      <c r="B3" s="10" t="s">
        <v>21</v>
      </c>
      <c r="C3" s="11" t="s">
        <v>186</v>
      </c>
      <c r="D3" s="20" t="s">
        <v>253</v>
      </c>
      <c r="E3" s="55">
        <v>42317</v>
      </c>
      <c r="F3" s="55">
        <v>42317</v>
      </c>
      <c r="G3" s="10" t="s">
        <v>18</v>
      </c>
      <c r="H3" s="27"/>
      <c r="I3" s="27"/>
      <c r="J3" s="27"/>
      <c r="K3" s="28">
        <v>16.25</v>
      </c>
      <c r="L3" s="27"/>
      <c r="M3" s="27"/>
      <c r="N3" s="27"/>
      <c r="O3" s="26">
        <f t="shared" si="0"/>
        <v>16.25</v>
      </c>
      <c r="P3" s="27"/>
      <c r="Q3" s="27"/>
      <c r="R3" s="26">
        <f>SUM(O3:Q3)</f>
        <v>16.25</v>
      </c>
    </row>
    <row r="4" spans="1:19" s="12" customFormat="1" ht="12" x14ac:dyDescent="0.2">
      <c r="A4" s="10" t="s">
        <v>20</v>
      </c>
      <c r="B4" s="10" t="s">
        <v>21</v>
      </c>
      <c r="C4" s="11" t="s">
        <v>107</v>
      </c>
      <c r="D4" s="20" t="s">
        <v>254</v>
      </c>
      <c r="E4" s="55">
        <v>42335</v>
      </c>
      <c r="F4" s="55">
        <v>42335</v>
      </c>
      <c r="G4" s="10" t="s">
        <v>18</v>
      </c>
      <c r="H4" s="27"/>
      <c r="I4" s="27"/>
      <c r="J4" s="27"/>
      <c r="K4" s="28">
        <v>32</v>
      </c>
      <c r="L4" s="27"/>
      <c r="M4" s="27"/>
      <c r="N4" s="27"/>
      <c r="O4" s="26">
        <f t="shared" si="0"/>
        <v>32</v>
      </c>
      <c r="P4" s="27"/>
      <c r="Q4" s="27"/>
      <c r="R4" s="26">
        <f>SUM(O4:Q4)</f>
        <v>32</v>
      </c>
    </row>
    <row r="5" spans="1:19" s="12" customFormat="1" ht="12" x14ac:dyDescent="0.2">
      <c r="A5" s="10" t="s">
        <v>20</v>
      </c>
      <c r="B5" s="10" t="s">
        <v>21</v>
      </c>
      <c r="C5" s="11" t="s">
        <v>186</v>
      </c>
      <c r="D5" s="20" t="s">
        <v>255</v>
      </c>
      <c r="E5" s="55">
        <v>42339</v>
      </c>
      <c r="F5" s="55">
        <v>42339</v>
      </c>
      <c r="G5" s="10" t="s">
        <v>18</v>
      </c>
      <c r="H5" s="27"/>
      <c r="I5" s="27"/>
      <c r="J5" s="27"/>
      <c r="K5" s="28">
        <v>9</v>
      </c>
      <c r="L5" s="27"/>
      <c r="M5" s="27"/>
      <c r="N5" s="27"/>
      <c r="O5" s="26">
        <f t="shared" si="0"/>
        <v>9</v>
      </c>
      <c r="P5" s="27"/>
      <c r="Q5" s="27"/>
      <c r="R5" s="26">
        <f>SUM(O5:Q5)</f>
        <v>9</v>
      </c>
    </row>
    <row r="6" spans="1:19" s="9" customFormat="1" ht="24" x14ac:dyDescent="0.2">
      <c r="A6" s="37" t="s">
        <v>209</v>
      </c>
      <c r="B6" s="18" t="s">
        <v>25</v>
      </c>
      <c r="C6" s="11" t="s">
        <v>55</v>
      </c>
      <c r="D6" s="18"/>
      <c r="E6" s="55">
        <v>42332</v>
      </c>
      <c r="F6" s="55">
        <v>42333</v>
      </c>
      <c r="G6" s="57" t="s">
        <v>18</v>
      </c>
      <c r="H6" s="39"/>
      <c r="I6" s="39"/>
      <c r="J6" s="40">
        <v>537.25</v>
      </c>
      <c r="K6" s="40">
        <f>198.59</f>
        <v>198.59</v>
      </c>
      <c r="L6" s="40"/>
      <c r="M6" s="40">
        <v>8.49</v>
      </c>
      <c r="N6" s="40"/>
      <c r="O6" s="26">
        <f t="shared" si="0"/>
        <v>744.33</v>
      </c>
      <c r="P6" s="40"/>
      <c r="Q6" s="40"/>
      <c r="R6" s="26">
        <f>SUM(O6:P6:Q6)</f>
        <v>744.33</v>
      </c>
    </row>
    <row r="7" spans="1:19" s="12" customFormat="1" ht="12" x14ac:dyDescent="0.2">
      <c r="A7" s="10" t="s">
        <v>20</v>
      </c>
      <c r="B7" s="10" t="s">
        <v>21</v>
      </c>
      <c r="C7" s="11" t="s">
        <v>55</v>
      </c>
      <c r="D7" s="20"/>
      <c r="E7" s="55">
        <v>42332</v>
      </c>
      <c r="F7" s="55">
        <v>42333</v>
      </c>
      <c r="G7" s="10" t="s">
        <v>18</v>
      </c>
      <c r="H7" s="27"/>
      <c r="I7" s="27"/>
      <c r="J7" s="27"/>
      <c r="K7" s="28">
        <v>20</v>
      </c>
      <c r="L7" s="27"/>
      <c r="M7" s="27"/>
      <c r="N7" s="27"/>
      <c r="O7" s="26">
        <f t="shared" si="0"/>
        <v>20</v>
      </c>
      <c r="P7" s="27"/>
      <c r="Q7" s="27"/>
      <c r="R7" s="26">
        <f>SUM(O7:Q7)</f>
        <v>20</v>
      </c>
    </row>
    <row r="8" spans="1:19" s="9" customFormat="1" ht="24" x14ac:dyDescent="0.2">
      <c r="A8" s="10" t="s">
        <v>38</v>
      </c>
      <c r="B8" s="13" t="s">
        <v>168</v>
      </c>
      <c r="C8" s="8" t="s">
        <v>218</v>
      </c>
      <c r="D8" s="13" t="s">
        <v>238</v>
      </c>
      <c r="E8" s="55">
        <v>42313</v>
      </c>
      <c r="F8" s="55">
        <v>42313</v>
      </c>
      <c r="G8" s="13" t="s">
        <v>47</v>
      </c>
      <c r="H8" s="27"/>
      <c r="I8" s="74"/>
      <c r="J8" s="28"/>
      <c r="K8" s="28">
        <v>153</v>
      </c>
      <c r="L8" s="28"/>
      <c r="M8" s="28"/>
      <c r="N8" s="28"/>
      <c r="O8" s="26">
        <f t="shared" si="0"/>
        <v>153</v>
      </c>
      <c r="P8" s="28"/>
      <c r="Q8" s="28"/>
      <c r="R8" s="26">
        <f>SUM(O8:Q8)</f>
        <v>153</v>
      </c>
    </row>
    <row r="9" spans="1:19" s="9" customFormat="1" ht="84" x14ac:dyDescent="0.2">
      <c r="A9" s="37" t="s">
        <v>133</v>
      </c>
      <c r="B9" s="18" t="s">
        <v>204</v>
      </c>
      <c r="C9" s="11" t="s">
        <v>107</v>
      </c>
      <c r="D9" s="20" t="s">
        <v>254</v>
      </c>
      <c r="E9" s="55">
        <v>42335</v>
      </c>
      <c r="F9" s="55">
        <v>42335</v>
      </c>
      <c r="G9" s="57" t="s">
        <v>18</v>
      </c>
      <c r="H9" s="37"/>
      <c r="I9" s="37"/>
      <c r="J9" s="48"/>
      <c r="K9" s="54">
        <v>5.88</v>
      </c>
      <c r="L9" s="48"/>
      <c r="M9" s="48"/>
      <c r="N9" s="48"/>
      <c r="O9" s="47">
        <f t="shared" si="0"/>
        <v>5.88</v>
      </c>
      <c r="P9" s="48"/>
      <c r="Q9" s="48"/>
      <c r="R9" s="47">
        <f>SUM(O9:Q9)</f>
        <v>5.88</v>
      </c>
      <c r="S9" s="49"/>
    </row>
    <row r="10" spans="1:19" s="9" customFormat="1" ht="84" x14ac:dyDescent="0.2">
      <c r="A10" s="37" t="s">
        <v>133</v>
      </c>
      <c r="B10" s="18" t="s">
        <v>204</v>
      </c>
      <c r="C10" s="11" t="s">
        <v>240</v>
      </c>
      <c r="D10" s="18" t="s">
        <v>241</v>
      </c>
      <c r="E10" s="58">
        <v>42297</v>
      </c>
      <c r="F10" s="58">
        <v>42297</v>
      </c>
      <c r="G10" s="57" t="s">
        <v>18</v>
      </c>
      <c r="H10" s="37"/>
      <c r="I10" s="37"/>
      <c r="J10" s="48"/>
      <c r="K10" s="54">
        <v>10</v>
      </c>
      <c r="L10" s="48"/>
      <c r="M10" s="48"/>
      <c r="N10" s="48"/>
      <c r="O10" s="47">
        <f t="shared" si="0"/>
        <v>10</v>
      </c>
      <c r="P10" s="48"/>
      <c r="Q10" s="48"/>
      <c r="R10" s="47">
        <f>SUM(O10:Q10)</f>
        <v>10</v>
      </c>
      <c r="S10" s="49"/>
    </row>
    <row r="11" spans="1:19" s="9" customFormat="1" ht="84" x14ac:dyDescent="0.2">
      <c r="A11" s="37" t="s">
        <v>133</v>
      </c>
      <c r="B11" s="18" t="s">
        <v>204</v>
      </c>
      <c r="C11" s="11" t="s">
        <v>52</v>
      </c>
      <c r="D11" s="18" t="s">
        <v>213</v>
      </c>
      <c r="E11" s="58">
        <v>42316</v>
      </c>
      <c r="F11" s="58">
        <v>42320</v>
      </c>
      <c r="G11" s="57" t="s">
        <v>214</v>
      </c>
      <c r="H11" s="37"/>
      <c r="I11" s="37"/>
      <c r="J11" s="48"/>
      <c r="K11" s="54">
        <f>56.35+55.2</f>
        <v>111.55000000000001</v>
      </c>
      <c r="L11" s="48">
        <v>1068.1400000000001</v>
      </c>
      <c r="M11" s="48">
        <f>7.14+14.99</f>
        <v>22.13</v>
      </c>
      <c r="N11" s="48"/>
      <c r="O11" s="47">
        <f t="shared" si="0"/>
        <v>1201.8200000000002</v>
      </c>
      <c r="P11" s="48"/>
      <c r="Q11" s="48"/>
      <c r="R11" s="47">
        <f t="shared" ref="R11:R23" si="1">SUM(O11:Q11)</f>
        <v>1201.8200000000002</v>
      </c>
      <c r="S11" s="49"/>
    </row>
    <row r="12" spans="1:19" s="12" customFormat="1" ht="72" x14ac:dyDescent="0.2">
      <c r="A12" s="7" t="s">
        <v>31</v>
      </c>
      <c r="B12" s="14" t="s">
        <v>139</v>
      </c>
      <c r="C12" s="11" t="s">
        <v>107</v>
      </c>
      <c r="D12" s="20" t="s">
        <v>254</v>
      </c>
      <c r="E12" s="55">
        <v>42335</v>
      </c>
      <c r="F12" s="55">
        <v>42335</v>
      </c>
      <c r="G12" s="57" t="s">
        <v>18</v>
      </c>
      <c r="H12" s="52"/>
      <c r="I12" s="74"/>
      <c r="J12" s="28"/>
      <c r="K12" s="28">
        <v>5.88</v>
      </c>
      <c r="L12" s="28"/>
      <c r="M12" s="28"/>
      <c r="N12" s="28"/>
      <c r="O12" s="26">
        <f t="shared" ref="O12:O23" si="2">SUM(J12:N12)</f>
        <v>5.88</v>
      </c>
      <c r="P12" s="28"/>
      <c r="Q12" s="28"/>
      <c r="R12" s="26">
        <f t="shared" si="1"/>
        <v>5.88</v>
      </c>
    </row>
    <row r="13" spans="1:19" s="12" customFormat="1" ht="72" x14ac:dyDescent="0.2">
      <c r="A13" s="7" t="s">
        <v>31</v>
      </c>
      <c r="B13" s="14" t="s">
        <v>139</v>
      </c>
      <c r="C13" s="11" t="s">
        <v>107</v>
      </c>
      <c r="D13" s="20" t="s">
        <v>238</v>
      </c>
      <c r="E13" s="55">
        <v>42338</v>
      </c>
      <c r="F13" s="55">
        <v>42339</v>
      </c>
      <c r="G13" s="57" t="s">
        <v>256</v>
      </c>
      <c r="H13" s="52"/>
      <c r="I13" s="74"/>
      <c r="J13" s="28"/>
      <c r="K13" s="28">
        <v>90</v>
      </c>
      <c r="L13" s="28">
        <v>90</v>
      </c>
      <c r="M13" s="28"/>
      <c r="N13" s="28"/>
      <c r="O13" s="26">
        <f t="shared" si="2"/>
        <v>180</v>
      </c>
      <c r="P13" s="28"/>
      <c r="Q13" s="28"/>
      <c r="R13" s="26">
        <f t="shared" si="1"/>
        <v>180</v>
      </c>
    </row>
    <row r="14" spans="1:19" s="12" customFormat="1" ht="72" x14ac:dyDescent="0.2">
      <c r="A14" s="7" t="s">
        <v>31</v>
      </c>
      <c r="B14" s="14" t="s">
        <v>139</v>
      </c>
      <c r="C14" s="11" t="s">
        <v>52</v>
      </c>
      <c r="D14" s="18" t="s">
        <v>245</v>
      </c>
      <c r="E14" s="58">
        <v>42324</v>
      </c>
      <c r="F14" s="58">
        <v>42325</v>
      </c>
      <c r="G14" s="57" t="s">
        <v>246</v>
      </c>
      <c r="H14" s="52"/>
      <c r="I14" s="74"/>
      <c r="J14" s="28"/>
      <c r="K14" s="28">
        <f>72.18</f>
        <v>72.180000000000007</v>
      </c>
      <c r="L14" s="28"/>
      <c r="M14" s="28">
        <v>16</v>
      </c>
      <c r="N14" s="28"/>
      <c r="O14" s="26">
        <f t="shared" si="2"/>
        <v>88.18</v>
      </c>
      <c r="P14" s="28"/>
      <c r="Q14" s="28"/>
      <c r="R14" s="26">
        <f t="shared" si="1"/>
        <v>88.18</v>
      </c>
    </row>
    <row r="15" spans="1:19" s="12" customFormat="1" ht="72" x14ac:dyDescent="0.2">
      <c r="A15" s="7" t="s">
        <v>31</v>
      </c>
      <c r="B15" s="14" t="s">
        <v>139</v>
      </c>
      <c r="C15" s="11" t="s">
        <v>107</v>
      </c>
      <c r="D15" s="18" t="s">
        <v>257</v>
      </c>
      <c r="E15" s="58">
        <v>42338</v>
      </c>
      <c r="F15" s="58">
        <v>42338</v>
      </c>
      <c r="G15" s="57" t="s">
        <v>18</v>
      </c>
      <c r="H15" s="52"/>
      <c r="I15" s="74"/>
      <c r="J15" s="28"/>
      <c r="K15" s="28">
        <v>15</v>
      </c>
      <c r="L15" s="28"/>
      <c r="M15" s="28"/>
      <c r="N15" s="28"/>
      <c r="O15" s="26">
        <f t="shared" si="2"/>
        <v>15</v>
      </c>
      <c r="P15" s="28"/>
      <c r="Q15" s="28"/>
      <c r="R15" s="26">
        <f t="shared" si="1"/>
        <v>15</v>
      </c>
    </row>
    <row r="16" spans="1:19" s="12" customFormat="1" ht="72" x14ac:dyDescent="0.2">
      <c r="A16" s="7" t="s">
        <v>31</v>
      </c>
      <c r="B16" s="14" t="s">
        <v>139</v>
      </c>
      <c r="C16" s="11" t="s">
        <v>107</v>
      </c>
      <c r="D16" s="18" t="s">
        <v>257</v>
      </c>
      <c r="E16" s="58">
        <v>42338</v>
      </c>
      <c r="F16" s="58">
        <v>42338</v>
      </c>
      <c r="G16" s="57" t="s">
        <v>18</v>
      </c>
      <c r="H16" s="52"/>
      <c r="I16" s="74"/>
      <c r="J16" s="28"/>
      <c r="K16" s="28">
        <v>15</v>
      </c>
      <c r="L16" s="28"/>
      <c r="M16" s="28"/>
      <c r="N16" s="28"/>
      <c r="O16" s="26">
        <f t="shared" si="2"/>
        <v>15</v>
      </c>
      <c r="P16" s="28"/>
      <c r="Q16" s="28"/>
      <c r="R16" s="26">
        <f t="shared" si="1"/>
        <v>15</v>
      </c>
    </row>
    <row r="17" spans="1:18" s="12" customFormat="1" ht="72" x14ac:dyDescent="0.2">
      <c r="A17" s="7" t="s">
        <v>31</v>
      </c>
      <c r="B17" s="14" t="s">
        <v>139</v>
      </c>
      <c r="C17" s="8" t="s">
        <v>218</v>
      </c>
      <c r="D17" s="13" t="s">
        <v>238</v>
      </c>
      <c r="E17" s="55">
        <v>42313</v>
      </c>
      <c r="F17" s="55">
        <v>42313</v>
      </c>
      <c r="G17" s="13" t="s">
        <v>47</v>
      </c>
      <c r="H17" s="52"/>
      <c r="I17" s="74"/>
      <c r="J17" s="28"/>
      <c r="K17" s="28">
        <v>74</v>
      </c>
      <c r="L17" s="28"/>
      <c r="M17" s="28"/>
      <c r="N17" s="28"/>
      <c r="O17" s="26">
        <f t="shared" si="2"/>
        <v>74</v>
      </c>
      <c r="P17" s="28"/>
      <c r="Q17" s="28"/>
      <c r="R17" s="26">
        <f t="shared" si="1"/>
        <v>74</v>
      </c>
    </row>
    <row r="18" spans="1:18" s="12" customFormat="1" ht="72" x14ac:dyDescent="0.2">
      <c r="A18" s="7" t="s">
        <v>31</v>
      </c>
      <c r="B18" s="14" t="s">
        <v>139</v>
      </c>
      <c r="C18" s="8" t="s">
        <v>218</v>
      </c>
      <c r="D18" s="13" t="s">
        <v>238</v>
      </c>
      <c r="E18" s="55">
        <v>42320</v>
      </c>
      <c r="F18" s="55">
        <v>42320</v>
      </c>
      <c r="G18" s="13" t="s">
        <v>258</v>
      </c>
      <c r="H18" s="52"/>
      <c r="I18" s="74"/>
      <c r="J18" s="28"/>
      <c r="K18" s="28">
        <v>96</v>
      </c>
      <c r="L18" s="28"/>
      <c r="M18" s="28"/>
      <c r="N18" s="28"/>
      <c r="O18" s="26">
        <f t="shared" si="2"/>
        <v>96</v>
      </c>
      <c r="P18" s="28"/>
      <c r="Q18" s="28"/>
      <c r="R18" s="26">
        <f t="shared" si="1"/>
        <v>96</v>
      </c>
    </row>
    <row r="19" spans="1:18" s="12" customFormat="1" ht="72" x14ac:dyDescent="0.2">
      <c r="A19" s="7" t="s">
        <v>31</v>
      </c>
      <c r="B19" s="14" t="s">
        <v>139</v>
      </c>
      <c r="C19" s="11" t="s">
        <v>52</v>
      </c>
      <c r="D19" s="18" t="s">
        <v>244</v>
      </c>
      <c r="E19" s="58">
        <v>42290</v>
      </c>
      <c r="F19" s="58">
        <v>42292</v>
      </c>
      <c r="G19" s="57" t="s">
        <v>215</v>
      </c>
      <c r="H19" s="52"/>
      <c r="I19" s="74"/>
      <c r="J19" s="28"/>
      <c r="K19" s="28">
        <v>26.16</v>
      </c>
      <c r="L19" s="28"/>
      <c r="M19" s="28"/>
      <c r="N19" s="28"/>
      <c r="O19" s="26">
        <f t="shared" si="2"/>
        <v>26.16</v>
      </c>
      <c r="P19" s="28"/>
      <c r="Q19" s="28"/>
      <c r="R19" s="26">
        <f t="shared" si="1"/>
        <v>26.16</v>
      </c>
    </row>
    <row r="20" spans="1:18" s="9" customFormat="1" ht="84" x14ac:dyDescent="0.2">
      <c r="A20" s="7" t="s">
        <v>248</v>
      </c>
      <c r="B20" s="14" t="s">
        <v>249</v>
      </c>
      <c r="C20" s="8" t="s">
        <v>72</v>
      </c>
      <c r="D20" s="20"/>
      <c r="E20" s="55">
        <v>42342</v>
      </c>
      <c r="F20" s="55">
        <v>42344</v>
      </c>
      <c r="G20" s="13" t="s">
        <v>250</v>
      </c>
      <c r="H20" s="7"/>
      <c r="I20" s="7"/>
      <c r="J20" s="46"/>
      <c r="K20" s="46"/>
      <c r="L20" s="46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1"/>
        <v>275.12</v>
      </c>
    </row>
    <row r="21" spans="1:18" s="12" customFormat="1" ht="84" x14ac:dyDescent="0.2">
      <c r="A21" s="7" t="s">
        <v>248</v>
      </c>
      <c r="B21" s="14" t="s">
        <v>249</v>
      </c>
      <c r="C21" s="8" t="s">
        <v>218</v>
      </c>
      <c r="D21" s="13" t="s">
        <v>238</v>
      </c>
      <c r="E21" s="55">
        <v>42314</v>
      </c>
      <c r="F21" s="55">
        <v>42314</v>
      </c>
      <c r="G21" s="13" t="s">
        <v>129</v>
      </c>
      <c r="H21" s="52"/>
      <c r="I21" s="74"/>
      <c r="J21" s="28"/>
      <c r="K21" s="28">
        <v>24</v>
      </c>
      <c r="L21" s="28"/>
      <c r="M21" s="28"/>
      <c r="N21" s="28"/>
      <c r="O21" s="26">
        <f t="shared" si="2"/>
        <v>24</v>
      </c>
      <c r="P21" s="28"/>
      <c r="Q21" s="28"/>
      <c r="R21" s="26">
        <f t="shared" si="1"/>
        <v>24</v>
      </c>
    </row>
    <row r="22" spans="1:18" s="9" customFormat="1" ht="84" x14ac:dyDescent="0.2">
      <c r="A22" s="7" t="s">
        <v>248</v>
      </c>
      <c r="B22" s="14" t="s">
        <v>249</v>
      </c>
      <c r="C22" s="8" t="s">
        <v>72</v>
      </c>
      <c r="D22" s="20"/>
      <c r="E22" s="55">
        <v>42341</v>
      </c>
      <c r="F22" s="55">
        <v>42342</v>
      </c>
      <c r="G22" s="13" t="s">
        <v>250</v>
      </c>
      <c r="H22" s="7"/>
      <c r="I22" s="7"/>
      <c r="J22" s="46"/>
      <c r="K22" s="46"/>
      <c r="L22" s="46">
        <v>137.56</v>
      </c>
      <c r="M22" s="46"/>
      <c r="N22" s="46"/>
      <c r="O22" s="47">
        <f t="shared" si="2"/>
        <v>137.56</v>
      </c>
      <c r="P22" s="46"/>
      <c r="Q22" s="46"/>
      <c r="R22" s="47">
        <f t="shared" si="1"/>
        <v>137.56</v>
      </c>
    </row>
    <row r="23" spans="1:18" s="9" customFormat="1" ht="84" x14ac:dyDescent="0.2">
      <c r="A23" s="7" t="s">
        <v>248</v>
      </c>
      <c r="B23" s="14" t="s">
        <v>249</v>
      </c>
      <c r="C23" s="8" t="s">
        <v>72</v>
      </c>
      <c r="D23" s="20"/>
      <c r="E23" s="55">
        <v>42351</v>
      </c>
      <c r="F23" s="55">
        <v>42353</v>
      </c>
      <c r="G23" s="13" t="s">
        <v>250</v>
      </c>
      <c r="H23" s="7"/>
      <c r="I23" s="7"/>
      <c r="J23" s="46"/>
      <c r="K23" s="46"/>
      <c r="L23" s="46">
        <v>275.12</v>
      </c>
      <c r="M23" s="46"/>
      <c r="N23" s="46"/>
      <c r="O23" s="47">
        <f t="shared" si="2"/>
        <v>275.12</v>
      </c>
      <c r="P23" s="46"/>
      <c r="Q23" s="46"/>
      <c r="R23" s="47">
        <f t="shared" si="1"/>
        <v>275.12</v>
      </c>
    </row>
  </sheetData>
  <pageMargins left="0.7" right="0.7" top="0.75" bottom="0.75" header="0.3" footer="0.3"/>
  <pageSetup scale="4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3"/>
  <sheetViews>
    <sheetView topLeftCell="A20" workbookViewId="0">
      <selection activeCell="C34" sqref="C34"/>
    </sheetView>
  </sheetViews>
  <sheetFormatPr defaultRowHeight="14.25" x14ac:dyDescent="0.2"/>
  <cols>
    <col min="1" max="1" width="16" bestFit="1" customWidth="1"/>
    <col min="2" max="2" width="20.625" bestFit="1" customWidth="1"/>
    <col min="3" max="3" width="42.375" bestFit="1" customWidth="1"/>
    <col min="4" max="4" width="43.125" bestFit="1" customWidth="1"/>
    <col min="7" max="7" width="12.5" bestFit="1" customWidth="1"/>
  </cols>
  <sheetData>
    <row r="1" spans="1:19" s="2" customFormat="1" ht="30.6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32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12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9" customFormat="1" ht="12" x14ac:dyDescent="0.2">
      <c r="A4" s="10" t="s">
        <v>20</v>
      </c>
      <c r="B4" s="10" t="s">
        <v>21</v>
      </c>
      <c r="C4" s="11" t="s">
        <v>107</v>
      </c>
      <c r="D4" s="13" t="s">
        <v>89</v>
      </c>
      <c r="E4" s="55">
        <v>42109</v>
      </c>
      <c r="F4" s="55">
        <v>42109</v>
      </c>
      <c r="G4" s="10" t="s">
        <v>18</v>
      </c>
      <c r="H4" s="31"/>
      <c r="I4" s="31"/>
      <c r="J4" s="31"/>
      <c r="K4" s="32">
        <f>14.16+24.5</f>
        <v>38.659999999999997</v>
      </c>
      <c r="L4" s="31"/>
      <c r="M4" s="31"/>
      <c r="N4" s="31"/>
      <c r="O4" s="33">
        <f t="shared" si="0"/>
        <v>38.659999999999997</v>
      </c>
      <c r="P4" s="31"/>
      <c r="Q4" s="31"/>
      <c r="R4" s="33">
        <f t="shared" ref="R4:R20" si="1">SUM(O4:Q4)</f>
        <v>38.659999999999997</v>
      </c>
      <c r="S4" s="12"/>
    </row>
    <row r="5" spans="1:19" s="12" customFormat="1" ht="27.95" customHeight="1" x14ac:dyDescent="0.2">
      <c r="A5" s="10" t="s">
        <v>20</v>
      </c>
      <c r="B5" s="10" t="s">
        <v>21</v>
      </c>
      <c r="C5" s="11" t="s">
        <v>185</v>
      </c>
      <c r="D5" s="10" t="s">
        <v>86</v>
      </c>
      <c r="E5" s="55">
        <v>42127</v>
      </c>
      <c r="F5" s="55">
        <v>42128</v>
      </c>
      <c r="G5" s="10" t="s">
        <v>87</v>
      </c>
      <c r="H5" s="27"/>
      <c r="I5" s="27"/>
      <c r="J5" s="27">
        <v>404.24</v>
      </c>
      <c r="K5" s="28">
        <v>35.4</v>
      </c>
      <c r="L5" s="27">
        <v>162</v>
      </c>
      <c r="M5" s="27"/>
      <c r="N5" s="27"/>
      <c r="O5" s="26">
        <f t="shared" si="0"/>
        <v>601.64</v>
      </c>
      <c r="P5" s="27"/>
      <c r="Q5" s="27"/>
      <c r="R5" s="26">
        <f t="shared" si="1"/>
        <v>601.64</v>
      </c>
    </row>
    <row r="6" spans="1:19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90</v>
      </c>
      <c r="E6" s="55">
        <v>42129</v>
      </c>
      <c r="F6" s="55">
        <v>42130</v>
      </c>
      <c r="G6" s="10" t="s">
        <v>47</v>
      </c>
      <c r="H6" s="27"/>
      <c r="I6" s="27"/>
      <c r="J6" s="27">
        <v>442.24</v>
      </c>
      <c r="K6" s="28"/>
      <c r="L6" s="27"/>
      <c r="M6" s="27"/>
      <c r="N6" s="27"/>
      <c r="O6" s="26">
        <f t="shared" si="0"/>
        <v>442.24</v>
      </c>
      <c r="P6" s="27"/>
      <c r="Q6" s="27"/>
      <c r="R6" s="26">
        <f t="shared" si="1"/>
        <v>442.24</v>
      </c>
    </row>
    <row r="7" spans="1:19" s="12" customFormat="1" ht="12" x14ac:dyDescent="0.2">
      <c r="A7" s="10" t="s">
        <v>20</v>
      </c>
      <c r="B7" s="10" t="s">
        <v>21</v>
      </c>
      <c r="C7" s="11" t="s">
        <v>107</v>
      </c>
      <c r="D7" s="10" t="s">
        <v>96</v>
      </c>
      <c r="E7" s="55">
        <v>42136</v>
      </c>
      <c r="F7" s="55">
        <v>42136</v>
      </c>
      <c r="G7" s="10" t="s">
        <v>18</v>
      </c>
      <c r="H7" s="27"/>
      <c r="I7" s="27"/>
      <c r="J7" s="27"/>
      <c r="K7" s="28">
        <v>11.5</v>
      </c>
      <c r="L7" s="27"/>
      <c r="M7" s="27"/>
      <c r="N7" s="27"/>
      <c r="O7" s="26">
        <f t="shared" si="0"/>
        <v>11.5</v>
      </c>
      <c r="P7" s="27"/>
      <c r="Q7" s="27"/>
      <c r="R7" s="26">
        <f t="shared" si="1"/>
        <v>11.5</v>
      </c>
      <c r="S7" s="19"/>
    </row>
    <row r="8" spans="1:19" s="19" customFormat="1" ht="12" x14ac:dyDescent="0.2">
      <c r="A8" s="10" t="s">
        <v>20</v>
      </c>
      <c r="B8" s="10" t="s">
        <v>21</v>
      </c>
      <c r="C8" s="11" t="s">
        <v>186</v>
      </c>
      <c r="D8" s="10" t="s">
        <v>91</v>
      </c>
      <c r="E8" s="55">
        <v>42149</v>
      </c>
      <c r="F8" s="55">
        <v>42149</v>
      </c>
      <c r="G8" s="10" t="s">
        <v>47</v>
      </c>
      <c r="H8" s="27"/>
      <c r="I8" s="27"/>
      <c r="J8" s="27">
        <v>303.24</v>
      </c>
      <c r="K8" s="28">
        <v>78.38</v>
      </c>
      <c r="L8" s="27"/>
      <c r="M8" s="27">
        <v>28.75</v>
      </c>
      <c r="N8" s="27"/>
      <c r="O8" s="26">
        <f t="shared" si="0"/>
        <v>410.37</v>
      </c>
      <c r="P8" s="27"/>
      <c r="Q8" s="27"/>
      <c r="R8" s="26">
        <f t="shared" si="1"/>
        <v>410.37</v>
      </c>
      <c r="S8" s="12"/>
    </row>
    <row r="9" spans="1:19" s="12" customFormat="1" ht="12" x14ac:dyDescent="0.2">
      <c r="A9" s="10" t="s">
        <v>20</v>
      </c>
      <c r="B9" s="10" t="s">
        <v>21</v>
      </c>
      <c r="C9" s="11" t="s">
        <v>186</v>
      </c>
      <c r="D9" s="10" t="s">
        <v>92</v>
      </c>
      <c r="E9" s="55">
        <v>42163</v>
      </c>
      <c r="F9" s="55">
        <v>42164</v>
      </c>
      <c r="G9" s="10" t="s">
        <v>93</v>
      </c>
      <c r="H9" s="27"/>
      <c r="I9" s="27"/>
      <c r="J9" s="27">
        <v>271.24</v>
      </c>
      <c r="K9" s="28"/>
      <c r="L9" s="27"/>
      <c r="M9" s="27"/>
      <c r="N9" s="27"/>
      <c r="O9" s="26">
        <f t="shared" si="0"/>
        <v>271.24</v>
      </c>
      <c r="P9" s="27"/>
      <c r="Q9" s="27"/>
      <c r="R9" s="26">
        <f t="shared" si="1"/>
        <v>271.24</v>
      </c>
    </row>
    <row r="10" spans="1:19" s="12" customFormat="1" ht="21" customHeight="1" x14ac:dyDescent="0.2">
      <c r="A10" s="10" t="s">
        <v>20</v>
      </c>
      <c r="B10" s="10" t="s">
        <v>21</v>
      </c>
      <c r="C10" s="8" t="s">
        <v>188</v>
      </c>
      <c r="D10" s="10" t="s">
        <v>119</v>
      </c>
      <c r="E10" s="55">
        <v>42131</v>
      </c>
      <c r="F10" s="55">
        <v>42131</v>
      </c>
      <c r="G10" s="10" t="s">
        <v>18</v>
      </c>
      <c r="H10" s="27"/>
      <c r="I10" s="27"/>
      <c r="J10" s="27"/>
      <c r="K10" s="28">
        <v>9</v>
      </c>
      <c r="L10" s="27"/>
      <c r="M10" s="27"/>
      <c r="N10" s="27"/>
      <c r="O10" s="26">
        <f t="shared" si="0"/>
        <v>9</v>
      </c>
      <c r="P10" s="27"/>
      <c r="Q10" s="27"/>
      <c r="R10" s="26">
        <f t="shared" si="1"/>
        <v>9</v>
      </c>
    </row>
    <row r="11" spans="1:19" s="12" customFormat="1" ht="12" x14ac:dyDescent="0.2">
      <c r="A11" s="10" t="s">
        <v>20</v>
      </c>
      <c r="B11" s="10" t="s">
        <v>21</v>
      </c>
      <c r="C11" s="8" t="s">
        <v>190</v>
      </c>
      <c r="D11" s="10" t="s">
        <v>121</v>
      </c>
      <c r="E11" s="55">
        <v>42131</v>
      </c>
      <c r="F11" s="55">
        <v>42131</v>
      </c>
      <c r="G11" s="10" t="s">
        <v>18</v>
      </c>
      <c r="H11" s="27"/>
      <c r="I11" s="27"/>
      <c r="J11" s="27"/>
      <c r="K11" s="28">
        <v>4.5</v>
      </c>
      <c r="L11" s="27"/>
      <c r="M11" s="27"/>
      <c r="N11" s="27"/>
      <c r="O11" s="26">
        <f t="shared" si="0"/>
        <v>4.5</v>
      </c>
      <c r="P11" s="27"/>
      <c r="Q11" s="27"/>
      <c r="R11" s="26">
        <f t="shared" si="1"/>
        <v>4.5</v>
      </c>
    </row>
    <row r="12" spans="1:19" s="9" customFormat="1" ht="29.1" customHeight="1" x14ac:dyDescent="0.2">
      <c r="A12" s="10" t="s">
        <v>20</v>
      </c>
      <c r="B12" s="10" t="s">
        <v>21</v>
      </c>
      <c r="C12" s="11" t="s">
        <v>188</v>
      </c>
      <c r="D12" s="20" t="s">
        <v>120</v>
      </c>
      <c r="E12" s="55">
        <v>42145</v>
      </c>
      <c r="F12" s="55">
        <v>42145</v>
      </c>
      <c r="G12" s="10" t="s">
        <v>18</v>
      </c>
      <c r="H12" s="27"/>
      <c r="I12" s="27"/>
      <c r="J12" s="27"/>
      <c r="K12" s="28">
        <v>10</v>
      </c>
      <c r="L12" s="27"/>
      <c r="M12" s="27"/>
      <c r="N12" s="27"/>
      <c r="O12" s="26">
        <f t="shared" si="0"/>
        <v>10</v>
      </c>
      <c r="P12" s="27"/>
      <c r="Q12" s="27"/>
      <c r="R12" s="26">
        <f t="shared" si="1"/>
        <v>10</v>
      </c>
      <c r="S12" s="12"/>
    </row>
    <row r="13" spans="1:19" s="9" customFormat="1" ht="29.1" customHeight="1" x14ac:dyDescent="0.2">
      <c r="A13" s="10" t="s">
        <v>20</v>
      </c>
      <c r="B13" s="10" t="s">
        <v>21</v>
      </c>
      <c r="C13" s="8" t="s">
        <v>190</v>
      </c>
      <c r="D13" s="20" t="s">
        <v>123</v>
      </c>
      <c r="E13" s="55">
        <v>42151</v>
      </c>
      <c r="F13" s="55">
        <v>42151</v>
      </c>
      <c r="G13" s="10" t="s">
        <v>18</v>
      </c>
      <c r="H13" s="27"/>
      <c r="I13" s="77">
        <v>1</v>
      </c>
      <c r="J13" s="27"/>
      <c r="K13" s="28"/>
      <c r="L13" s="27"/>
      <c r="M13" s="27"/>
      <c r="N13" s="27"/>
      <c r="O13" s="26">
        <f t="shared" si="0"/>
        <v>0</v>
      </c>
      <c r="P13" s="27">
        <v>52</v>
      </c>
      <c r="Q13" s="27"/>
      <c r="R13" s="26">
        <f t="shared" si="1"/>
        <v>52</v>
      </c>
      <c r="S13" s="12"/>
    </row>
    <row r="14" spans="1:19" s="9" customFormat="1" ht="12" x14ac:dyDescent="0.2">
      <c r="A14" s="10" t="s">
        <v>20</v>
      </c>
      <c r="B14" s="10" t="s">
        <v>21</v>
      </c>
      <c r="C14" s="8" t="s">
        <v>190</v>
      </c>
      <c r="D14" s="20" t="s">
        <v>124</v>
      </c>
      <c r="E14" s="55">
        <v>42157</v>
      </c>
      <c r="F14" s="55">
        <v>42157</v>
      </c>
      <c r="G14" s="10" t="s">
        <v>18</v>
      </c>
      <c r="H14" s="27"/>
      <c r="I14" s="27"/>
      <c r="J14" s="27"/>
      <c r="K14" s="28">
        <v>8</v>
      </c>
      <c r="L14" s="27"/>
      <c r="M14" s="27"/>
      <c r="N14" s="27"/>
      <c r="O14" s="26">
        <f t="shared" si="0"/>
        <v>8</v>
      </c>
      <c r="P14" s="27"/>
      <c r="Q14" s="27"/>
      <c r="R14" s="26">
        <f t="shared" si="1"/>
        <v>8</v>
      </c>
      <c r="S14" s="12"/>
    </row>
    <row r="15" spans="1:19" s="49" customFormat="1" ht="28.5" customHeight="1" x14ac:dyDescent="0.2">
      <c r="A15" s="10" t="s">
        <v>20</v>
      </c>
      <c r="B15" s="10" t="s">
        <v>21</v>
      </c>
      <c r="C15" s="11" t="s">
        <v>188</v>
      </c>
      <c r="D15" s="10" t="s">
        <v>137</v>
      </c>
      <c r="E15" s="55">
        <v>42164</v>
      </c>
      <c r="F15" s="55">
        <v>42164</v>
      </c>
      <c r="G15" s="10" t="s">
        <v>18</v>
      </c>
      <c r="H15" s="27"/>
      <c r="I15" s="27"/>
      <c r="J15" s="27"/>
      <c r="K15" s="28">
        <v>10.62</v>
      </c>
      <c r="L15" s="27"/>
      <c r="M15" s="27"/>
      <c r="N15" s="27"/>
      <c r="O15" s="26">
        <f t="shared" si="0"/>
        <v>10.62</v>
      </c>
      <c r="P15" s="27"/>
      <c r="Q15" s="27"/>
      <c r="R15" s="26">
        <f t="shared" si="1"/>
        <v>10.62</v>
      </c>
      <c r="S15" s="12"/>
    </row>
    <row r="16" spans="1:19" s="9" customFormat="1" ht="12" x14ac:dyDescent="0.2">
      <c r="A16" s="10" t="s">
        <v>20</v>
      </c>
      <c r="B16" s="10" t="s">
        <v>21</v>
      </c>
      <c r="C16" s="8" t="s">
        <v>179</v>
      </c>
      <c r="D16" s="10" t="s">
        <v>117</v>
      </c>
      <c r="E16" s="55">
        <v>42173</v>
      </c>
      <c r="F16" s="55">
        <v>42176</v>
      </c>
      <c r="G16" s="10" t="s">
        <v>118</v>
      </c>
      <c r="H16" s="27"/>
      <c r="I16" s="27"/>
      <c r="J16" s="27">
        <v>308.24</v>
      </c>
      <c r="K16" s="28"/>
      <c r="L16" s="27"/>
      <c r="M16" s="27"/>
      <c r="N16" s="27"/>
      <c r="O16" s="26">
        <f t="shared" si="0"/>
        <v>308.24</v>
      </c>
      <c r="P16" s="27"/>
      <c r="Q16" s="27"/>
      <c r="R16" s="26">
        <f t="shared" si="1"/>
        <v>308.24</v>
      </c>
      <c r="S16" s="12"/>
    </row>
    <row r="17" spans="1:19" s="9" customFormat="1" ht="24" x14ac:dyDescent="0.2">
      <c r="A17" s="7" t="s">
        <v>31</v>
      </c>
      <c r="B17" s="14" t="s">
        <v>139</v>
      </c>
      <c r="C17" s="11" t="s">
        <v>188</v>
      </c>
      <c r="D17" s="13" t="s">
        <v>138</v>
      </c>
      <c r="E17" s="55">
        <v>42143</v>
      </c>
      <c r="F17" s="55">
        <v>42145</v>
      </c>
      <c r="G17" s="13" t="s">
        <v>97</v>
      </c>
      <c r="H17" s="52"/>
      <c r="I17" s="27"/>
      <c r="J17" s="28">
        <v>766.42</v>
      </c>
      <c r="K17" s="28">
        <v>104.47</v>
      </c>
      <c r="L17" s="28">
        <v>463.4</v>
      </c>
      <c r="M17" s="28">
        <v>8.77</v>
      </c>
      <c r="N17" s="28"/>
      <c r="O17" s="26">
        <f t="shared" si="0"/>
        <v>1343.06</v>
      </c>
      <c r="P17" s="28"/>
      <c r="Q17" s="28"/>
      <c r="R17" s="26">
        <f t="shared" si="1"/>
        <v>1343.06</v>
      </c>
    </row>
    <row r="18" spans="1:19" s="9" customFormat="1" ht="36" x14ac:dyDescent="0.2">
      <c r="A18" s="7" t="s">
        <v>31</v>
      </c>
      <c r="B18" s="14" t="s">
        <v>139</v>
      </c>
      <c r="C18" s="11" t="s">
        <v>189</v>
      </c>
      <c r="D18" s="13" t="s">
        <v>152</v>
      </c>
      <c r="E18" s="55">
        <v>42149</v>
      </c>
      <c r="F18" s="55">
        <v>42149</v>
      </c>
      <c r="G18" s="13" t="s">
        <v>47</v>
      </c>
      <c r="H18" s="52"/>
      <c r="I18" s="27"/>
      <c r="J18" s="28">
        <v>295.85000000000002</v>
      </c>
      <c r="K18" s="28">
        <v>172.95</v>
      </c>
      <c r="L18" s="28"/>
      <c r="M18" s="28"/>
      <c r="N18" s="28"/>
      <c r="O18" s="26">
        <f t="shared" si="0"/>
        <v>468.8</v>
      </c>
      <c r="P18" s="28"/>
      <c r="Q18" s="28"/>
      <c r="R18" s="26">
        <f t="shared" si="1"/>
        <v>468.8</v>
      </c>
    </row>
    <row r="19" spans="1:19" s="9" customFormat="1" ht="144" x14ac:dyDescent="0.2">
      <c r="A19" s="7" t="s">
        <v>31</v>
      </c>
      <c r="B19" s="14" t="s">
        <v>139</v>
      </c>
      <c r="C19" s="11" t="s">
        <v>178</v>
      </c>
      <c r="D19" s="13" t="s">
        <v>178</v>
      </c>
      <c r="E19" s="55">
        <v>42150</v>
      </c>
      <c r="F19" s="55">
        <v>42150</v>
      </c>
      <c r="G19" s="13" t="s">
        <v>99</v>
      </c>
      <c r="H19" s="59" t="s">
        <v>182</v>
      </c>
      <c r="I19" s="27"/>
      <c r="J19" s="28">
        <v>345.25</v>
      </c>
      <c r="K19" s="28">
        <f>115+20</f>
        <v>135</v>
      </c>
      <c r="L19" s="28"/>
      <c r="M19" s="28">
        <v>79.959999999999994</v>
      </c>
      <c r="N19" s="28"/>
      <c r="O19" s="26">
        <f t="shared" si="0"/>
        <v>560.21</v>
      </c>
      <c r="P19" s="28"/>
      <c r="Q19" s="28"/>
      <c r="R19" s="26">
        <f t="shared" si="1"/>
        <v>560.21</v>
      </c>
    </row>
    <row r="20" spans="1:19" s="12" customFormat="1" ht="21" customHeight="1" x14ac:dyDescent="0.2">
      <c r="A20" s="10" t="s">
        <v>125</v>
      </c>
      <c r="B20" s="10" t="s">
        <v>25</v>
      </c>
      <c r="C20" s="11" t="s">
        <v>55</v>
      </c>
      <c r="D20" s="20"/>
      <c r="E20" s="55">
        <v>42165</v>
      </c>
      <c r="F20" s="55">
        <v>42166</v>
      </c>
      <c r="G20" s="10" t="s">
        <v>18</v>
      </c>
      <c r="H20" s="27"/>
      <c r="I20" s="27"/>
      <c r="J20" s="27">
        <v>208.24</v>
      </c>
      <c r="K20" s="28">
        <f>295.2+13+24</f>
        <v>332.2</v>
      </c>
      <c r="L20" s="27">
        <v>159.12</v>
      </c>
      <c r="M20" s="27">
        <v>35.46</v>
      </c>
      <c r="N20" s="27"/>
      <c r="O20" s="26">
        <f t="shared" si="0"/>
        <v>735.0200000000001</v>
      </c>
      <c r="P20" s="27"/>
      <c r="Q20" s="27"/>
      <c r="R20" s="26">
        <f t="shared" si="1"/>
        <v>735.0200000000001</v>
      </c>
    </row>
    <row r="21" spans="1:19" s="12" customFormat="1" ht="21" customHeight="1" x14ac:dyDescent="0.2">
      <c r="A21" s="37" t="s">
        <v>1</v>
      </c>
      <c r="B21" s="18" t="s">
        <v>25</v>
      </c>
      <c r="C21" s="11" t="s">
        <v>188</v>
      </c>
      <c r="D21" s="20" t="s">
        <v>120</v>
      </c>
      <c r="E21" s="58">
        <v>42145</v>
      </c>
      <c r="F21" s="58">
        <v>42145</v>
      </c>
      <c r="G21" s="57" t="s">
        <v>18</v>
      </c>
      <c r="H21" s="37"/>
      <c r="I21" s="37"/>
      <c r="J21" s="48"/>
      <c r="K21" s="48">
        <v>148.80000000000001</v>
      </c>
      <c r="L21" s="48"/>
      <c r="M21" s="48"/>
      <c r="N21" s="48"/>
      <c r="O21" s="47">
        <f t="shared" si="0"/>
        <v>148.80000000000001</v>
      </c>
      <c r="P21" s="48"/>
      <c r="Q21" s="48"/>
      <c r="R21" s="47">
        <f>SUM(O21:P21:Q21)</f>
        <v>148.80000000000001</v>
      </c>
      <c r="S21" s="49"/>
    </row>
    <row r="22" spans="1:19" s="12" customFormat="1" ht="21.6" customHeight="1" x14ac:dyDescent="0.2">
      <c r="A22" s="37" t="s">
        <v>1</v>
      </c>
      <c r="B22" s="18" t="s">
        <v>25</v>
      </c>
      <c r="C22" s="8" t="s">
        <v>55</v>
      </c>
      <c r="D22" s="18"/>
      <c r="E22" s="58">
        <v>42165</v>
      </c>
      <c r="F22" s="58">
        <v>42166</v>
      </c>
      <c r="G22" s="57" t="s">
        <v>18</v>
      </c>
      <c r="H22" s="37"/>
      <c r="I22" s="37"/>
      <c r="J22" s="48"/>
      <c r="K22" s="48">
        <f>117.6+35</f>
        <v>152.6</v>
      </c>
      <c r="L22" s="48">
        <v>159.12</v>
      </c>
      <c r="M22" s="48">
        <v>7.75</v>
      </c>
      <c r="N22" s="48"/>
      <c r="O22" s="47">
        <f t="shared" si="0"/>
        <v>319.47000000000003</v>
      </c>
      <c r="P22" s="48"/>
      <c r="Q22" s="48"/>
      <c r="R22" s="47">
        <f>SUM(O22:P22:Q22)</f>
        <v>319.47000000000003</v>
      </c>
      <c r="S22" s="49"/>
    </row>
    <row r="23" spans="1:19" s="12" customFormat="1" ht="12" x14ac:dyDescent="0.2">
      <c r="A23" s="10" t="s">
        <v>126</v>
      </c>
      <c r="B23" s="10" t="s">
        <v>25</v>
      </c>
      <c r="C23" s="11" t="s">
        <v>55</v>
      </c>
      <c r="D23" s="20"/>
      <c r="E23" s="55">
        <v>42165</v>
      </c>
      <c r="F23" s="55">
        <v>42166</v>
      </c>
      <c r="G23" s="10" t="s">
        <v>18</v>
      </c>
      <c r="H23" s="27"/>
      <c r="I23" s="27"/>
      <c r="J23" s="27"/>
      <c r="K23" s="28"/>
      <c r="L23" s="27">
        <v>286.42</v>
      </c>
      <c r="M23" s="27"/>
      <c r="N23" s="27"/>
      <c r="O23" s="26">
        <f t="shared" si="0"/>
        <v>286.42</v>
      </c>
      <c r="P23" s="27"/>
      <c r="Q23" s="27"/>
      <c r="R23" s="26">
        <f>SUM(O23:Q23)</f>
        <v>286.42</v>
      </c>
    </row>
    <row r="24" spans="1:19" s="12" customFormat="1" ht="24" x14ac:dyDescent="0.2">
      <c r="A24" s="37" t="s">
        <v>27</v>
      </c>
      <c r="B24" s="18" t="s">
        <v>37</v>
      </c>
      <c r="C24" s="18" t="s">
        <v>53</v>
      </c>
      <c r="D24" s="18" t="s">
        <v>78</v>
      </c>
      <c r="E24" s="58">
        <v>42023</v>
      </c>
      <c r="F24" s="58">
        <v>42024</v>
      </c>
      <c r="G24" s="57" t="s">
        <v>18</v>
      </c>
      <c r="H24" s="37"/>
      <c r="I24" s="37"/>
      <c r="J24" s="48"/>
      <c r="K24" s="48">
        <v>197.5</v>
      </c>
      <c r="L24" s="48"/>
      <c r="M24" s="48">
        <v>24.7</v>
      </c>
      <c r="N24" s="48"/>
      <c r="O24" s="47">
        <f t="shared" si="0"/>
        <v>222.2</v>
      </c>
      <c r="P24" s="48"/>
      <c r="Q24" s="48"/>
      <c r="R24" s="47">
        <f>SUM(O24:P24:Q24)</f>
        <v>222.2</v>
      </c>
      <c r="S24" s="49"/>
    </row>
    <row r="25" spans="1:19" s="12" customFormat="1" ht="12" x14ac:dyDescent="0.2">
      <c r="A25" s="7" t="s">
        <v>27</v>
      </c>
      <c r="B25" s="8" t="s">
        <v>37</v>
      </c>
      <c r="C25" s="8" t="s">
        <v>54</v>
      </c>
      <c r="D25" s="8"/>
      <c r="E25" s="55">
        <v>42026</v>
      </c>
      <c r="F25" s="55">
        <v>42027</v>
      </c>
      <c r="G25" s="13" t="s">
        <v>18</v>
      </c>
      <c r="H25" s="7"/>
      <c r="I25" s="7"/>
      <c r="J25" s="46"/>
      <c r="K25" s="46">
        <v>225.25</v>
      </c>
      <c r="L25" s="46"/>
      <c r="M25" s="46">
        <v>22.66</v>
      </c>
      <c r="N25" s="46"/>
      <c r="O25" s="47">
        <f t="shared" si="0"/>
        <v>247.91</v>
      </c>
      <c r="P25" s="46"/>
      <c r="Q25" s="46"/>
      <c r="R25" s="47">
        <f>SUM(O25:P25:Q25)</f>
        <v>247.91</v>
      </c>
      <c r="S25" s="9"/>
    </row>
    <row r="26" spans="1:19" s="12" customFormat="1" ht="12.95" customHeight="1" x14ac:dyDescent="0.2">
      <c r="A26" s="7" t="s">
        <v>27</v>
      </c>
      <c r="B26" s="8" t="s">
        <v>37</v>
      </c>
      <c r="C26" s="8" t="s">
        <v>114</v>
      </c>
      <c r="D26" s="20" t="s">
        <v>104</v>
      </c>
      <c r="E26" s="55">
        <v>42038</v>
      </c>
      <c r="F26" s="55">
        <v>42039</v>
      </c>
      <c r="G26" s="13" t="s">
        <v>18</v>
      </c>
      <c r="H26" s="27"/>
      <c r="I26" s="27"/>
      <c r="J26" s="28"/>
      <c r="K26" s="28">
        <v>206.5</v>
      </c>
      <c r="L26" s="28"/>
      <c r="M26" s="28">
        <v>17.7</v>
      </c>
      <c r="N26" s="28"/>
      <c r="O26" s="26">
        <f t="shared" si="0"/>
        <v>224.2</v>
      </c>
      <c r="P26" s="28"/>
      <c r="Q26" s="28"/>
      <c r="R26" s="26">
        <f>SUM(O26:P26:Q26)</f>
        <v>224.2</v>
      </c>
    </row>
    <row r="27" spans="1:19" s="12" customFormat="1" ht="12" x14ac:dyDescent="0.2">
      <c r="A27" s="37" t="s">
        <v>27</v>
      </c>
      <c r="B27" s="18" t="s">
        <v>37</v>
      </c>
      <c r="C27" s="8" t="s">
        <v>190</v>
      </c>
      <c r="D27" s="14" t="s">
        <v>105</v>
      </c>
      <c r="E27" s="55">
        <v>42061</v>
      </c>
      <c r="F27" s="55">
        <v>42061</v>
      </c>
      <c r="G27" s="13" t="s">
        <v>18</v>
      </c>
      <c r="H27" s="7"/>
      <c r="I27" s="7"/>
      <c r="J27" s="7"/>
      <c r="K27" s="51">
        <v>204.5</v>
      </c>
      <c r="L27" s="7"/>
      <c r="M27" s="46">
        <v>16.2</v>
      </c>
      <c r="N27" s="7"/>
      <c r="O27" s="47">
        <f t="shared" si="0"/>
        <v>220.7</v>
      </c>
      <c r="P27" s="7"/>
      <c r="Q27" s="7"/>
      <c r="R27" s="47">
        <f>SUM(O27:P27:Q27)</f>
        <v>220.7</v>
      </c>
      <c r="S27" s="9"/>
    </row>
    <row r="28" spans="1:19" s="49" customFormat="1" ht="24" x14ac:dyDescent="0.2">
      <c r="A28" s="7" t="s">
        <v>27</v>
      </c>
      <c r="B28" s="8" t="s">
        <v>37</v>
      </c>
      <c r="C28" s="8" t="s">
        <v>217</v>
      </c>
      <c r="D28" s="20" t="s">
        <v>60</v>
      </c>
      <c r="E28" s="55">
        <v>42087</v>
      </c>
      <c r="F28" s="55">
        <v>42089</v>
      </c>
      <c r="G28" s="13" t="s">
        <v>18</v>
      </c>
      <c r="H28" s="7"/>
      <c r="I28" s="7"/>
      <c r="J28" s="46"/>
      <c r="K28" s="46">
        <f>221.25</f>
        <v>221.25</v>
      </c>
      <c r="L28" s="46"/>
      <c r="M28" s="46">
        <f>19.21+19.22</f>
        <v>38.43</v>
      </c>
      <c r="N28" s="46"/>
      <c r="O28" s="47">
        <f t="shared" si="0"/>
        <v>259.68</v>
      </c>
      <c r="P28" s="46"/>
      <c r="Q28" s="46"/>
      <c r="R28" s="47">
        <f>SUM(O28:P28:Q28)</f>
        <v>259.68</v>
      </c>
      <c r="S28" s="9"/>
    </row>
    <row r="29" spans="1:19" s="9" customFormat="1" ht="24" x14ac:dyDescent="0.2">
      <c r="A29" s="7" t="s">
        <v>27</v>
      </c>
      <c r="B29" s="8" t="s">
        <v>37</v>
      </c>
      <c r="C29" s="11" t="s">
        <v>107</v>
      </c>
      <c r="D29" s="13" t="s">
        <v>88</v>
      </c>
      <c r="E29" s="55">
        <v>42094</v>
      </c>
      <c r="F29" s="55">
        <v>42094</v>
      </c>
      <c r="G29" s="13" t="s">
        <v>18</v>
      </c>
      <c r="H29" s="27"/>
      <c r="I29" s="27"/>
      <c r="J29" s="28"/>
      <c r="K29" s="28">
        <v>180.75</v>
      </c>
      <c r="L29" s="28"/>
      <c r="M29" s="28"/>
      <c r="N29" s="28"/>
      <c r="O29" s="26">
        <f t="shared" si="0"/>
        <v>180.75</v>
      </c>
      <c r="P29" s="28"/>
      <c r="Q29" s="28"/>
      <c r="R29" s="26">
        <f>SUM(O29:P29:Q29)</f>
        <v>180.75</v>
      </c>
    </row>
    <row r="30" spans="1:19" s="9" customFormat="1" ht="24" x14ac:dyDescent="0.2">
      <c r="A30" s="7" t="s">
        <v>27</v>
      </c>
      <c r="B30" s="8" t="s">
        <v>37</v>
      </c>
      <c r="C30" s="11" t="s">
        <v>187</v>
      </c>
      <c r="D30" s="13" t="s">
        <v>181</v>
      </c>
      <c r="E30" s="55">
        <v>42118</v>
      </c>
      <c r="F30" s="55">
        <v>42118</v>
      </c>
      <c r="G30" s="13" t="s">
        <v>103</v>
      </c>
      <c r="H30" s="27"/>
      <c r="I30" s="27"/>
      <c r="J30" s="28"/>
      <c r="K30" s="28">
        <v>100.4</v>
      </c>
      <c r="L30" s="28"/>
      <c r="M30" s="28"/>
      <c r="N30" s="28"/>
      <c r="O30" s="26">
        <f t="shared" si="0"/>
        <v>100.4</v>
      </c>
      <c r="P30" s="28"/>
      <c r="Q30" s="28"/>
      <c r="R30" s="26">
        <f>SUM(O30:P30:Q30)</f>
        <v>100.4</v>
      </c>
    </row>
    <row r="31" spans="1:19" s="9" customFormat="1" ht="12" x14ac:dyDescent="0.2">
      <c r="A31" s="7" t="s">
        <v>27</v>
      </c>
      <c r="B31" s="8" t="s">
        <v>37</v>
      </c>
      <c r="C31" s="11" t="s">
        <v>52</v>
      </c>
      <c r="D31" s="20" t="s">
        <v>101</v>
      </c>
      <c r="E31" s="55">
        <v>42145</v>
      </c>
      <c r="F31" s="55">
        <v>42146</v>
      </c>
      <c r="G31" s="13" t="s">
        <v>18</v>
      </c>
      <c r="H31" s="27"/>
      <c r="I31" s="27"/>
      <c r="J31" s="28"/>
      <c r="K31" s="28">
        <v>46.25</v>
      </c>
      <c r="L31" s="28">
        <v>159.12</v>
      </c>
      <c r="M31" s="28">
        <v>15.85</v>
      </c>
      <c r="N31" s="28"/>
      <c r="O31" s="26">
        <f t="shared" si="0"/>
        <v>221.22</v>
      </c>
      <c r="P31" s="28"/>
      <c r="Q31" s="28"/>
      <c r="R31" s="26">
        <f>SUM(O31:P31:Q31)</f>
        <v>221.22</v>
      </c>
    </row>
    <row r="32" spans="1:19" s="49" customFormat="1" ht="24" x14ac:dyDescent="0.2">
      <c r="A32" s="7" t="s">
        <v>27</v>
      </c>
      <c r="B32" s="8" t="s">
        <v>37</v>
      </c>
      <c r="C32" s="8" t="s">
        <v>115</v>
      </c>
      <c r="D32" s="13" t="s">
        <v>116</v>
      </c>
      <c r="E32" s="55">
        <v>42145</v>
      </c>
      <c r="F32" s="55">
        <v>42146</v>
      </c>
      <c r="G32" s="13" t="s">
        <v>18</v>
      </c>
      <c r="H32" s="27"/>
      <c r="I32" s="27"/>
      <c r="J32" s="28"/>
      <c r="K32" s="28">
        <v>224.75</v>
      </c>
      <c r="L32" s="28"/>
      <c r="M32" s="28">
        <v>20</v>
      </c>
      <c r="N32" s="28"/>
      <c r="O32" s="26">
        <f t="shared" si="0"/>
        <v>244.75</v>
      </c>
      <c r="P32" s="28"/>
      <c r="Q32" s="28"/>
      <c r="R32" s="26">
        <f>SUM(O32:P32:Q32)</f>
        <v>244.75</v>
      </c>
    </row>
    <row r="33" spans="1:19" s="9" customFormat="1" ht="12" x14ac:dyDescent="0.2">
      <c r="A33" s="7" t="s">
        <v>27</v>
      </c>
      <c r="B33" s="8" t="s">
        <v>37</v>
      </c>
      <c r="C33" s="18" t="s">
        <v>192</v>
      </c>
      <c r="D33" s="18"/>
      <c r="E33" s="58">
        <v>42156</v>
      </c>
      <c r="F33" s="55">
        <v>42156</v>
      </c>
      <c r="G33" s="57" t="s">
        <v>18</v>
      </c>
      <c r="H33" s="39"/>
      <c r="I33" s="39"/>
      <c r="J33" s="40"/>
      <c r="K33" s="28">
        <v>198.5</v>
      </c>
      <c r="L33" s="7"/>
      <c r="M33" s="28"/>
      <c r="N33" s="40"/>
      <c r="O33" s="26">
        <f t="shared" ref="O33:O53" si="2">SUM(J33:N33)</f>
        <v>198.5</v>
      </c>
      <c r="P33" s="40"/>
      <c r="Q33" s="40"/>
      <c r="R33" s="26">
        <f>SUM(O33:P33:Q33)</f>
        <v>198.5</v>
      </c>
    </row>
    <row r="34" spans="1:19" s="12" customFormat="1" ht="12" x14ac:dyDescent="0.2">
      <c r="A34" s="7" t="s">
        <v>27</v>
      </c>
      <c r="B34" s="8" t="s">
        <v>37</v>
      </c>
      <c r="C34" s="8" t="s">
        <v>179</v>
      </c>
      <c r="D34" s="20" t="s">
        <v>106</v>
      </c>
      <c r="E34" s="55">
        <v>42159</v>
      </c>
      <c r="F34" s="55">
        <v>42160</v>
      </c>
      <c r="G34" s="13" t="s">
        <v>18</v>
      </c>
      <c r="H34" s="7"/>
      <c r="I34" s="7"/>
      <c r="J34" s="46"/>
      <c r="K34" s="46">
        <v>316</v>
      </c>
      <c r="L34" s="46">
        <v>183.77</v>
      </c>
      <c r="M34" s="46">
        <v>10.44</v>
      </c>
      <c r="N34" s="46"/>
      <c r="O34" s="47">
        <f t="shared" si="2"/>
        <v>510.21</v>
      </c>
      <c r="P34" s="46"/>
      <c r="Q34" s="46"/>
      <c r="R34" s="47">
        <f>SUM(O34:P34:Q34)</f>
        <v>510.21</v>
      </c>
      <c r="S34" s="9"/>
    </row>
    <row r="35" spans="1:19" s="12" customFormat="1" ht="12" x14ac:dyDescent="0.2">
      <c r="A35" s="7" t="s">
        <v>27</v>
      </c>
      <c r="B35" s="8" t="s">
        <v>37</v>
      </c>
      <c r="C35" s="8" t="s">
        <v>55</v>
      </c>
      <c r="D35" s="20"/>
      <c r="E35" s="55">
        <v>42164</v>
      </c>
      <c r="F35" s="55">
        <v>42166</v>
      </c>
      <c r="G35" s="13" t="s">
        <v>18</v>
      </c>
      <c r="H35" s="7"/>
      <c r="I35" s="7"/>
      <c r="J35" s="46"/>
      <c r="K35" s="46">
        <v>242</v>
      </c>
      <c r="L35" s="46">
        <v>318.24</v>
      </c>
      <c r="M35" s="46">
        <v>35.76</v>
      </c>
      <c r="N35" s="46"/>
      <c r="O35" s="47">
        <f t="shared" si="2"/>
        <v>596</v>
      </c>
      <c r="P35" s="46"/>
      <c r="Q35" s="46"/>
      <c r="R35" s="47">
        <f>SUM(O35:P35:Q35)</f>
        <v>596</v>
      </c>
      <c r="S35" s="9"/>
    </row>
    <row r="36" spans="1:19" s="12" customFormat="1" ht="12" x14ac:dyDescent="0.2">
      <c r="A36" s="10" t="s">
        <v>50</v>
      </c>
      <c r="B36" s="10" t="s">
        <v>25</v>
      </c>
      <c r="C36" s="11" t="s">
        <v>55</v>
      </c>
      <c r="D36" s="20"/>
      <c r="E36" s="55">
        <v>42165</v>
      </c>
      <c r="F36" s="55">
        <v>42166</v>
      </c>
      <c r="G36" s="10" t="s">
        <v>18</v>
      </c>
      <c r="H36" s="27"/>
      <c r="I36" s="27"/>
      <c r="J36" s="27"/>
      <c r="K36" s="28">
        <v>35</v>
      </c>
      <c r="L36" s="27">
        <v>159.12</v>
      </c>
      <c r="M36" s="27"/>
      <c r="N36" s="27"/>
      <c r="O36" s="26">
        <f t="shared" si="2"/>
        <v>194.12</v>
      </c>
      <c r="P36" s="27"/>
      <c r="Q36" s="27"/>
      <c r="R36" s="47">
        <f>SUM(O36:P36:Q36)</f>
        <v>194.12</v>
      </c>
    </row>
    <row r="37" spans="1:19" s="12" customFormat="1" ht="12" x14ac:dyDescent="0.2">
      <c r="A37" s="7" t="s">
        <v>33</v>
      </c>
      <c r="B37" s="14" t="s">
        <v>34</v>
      </c>
      <c r="C37" s="11" t="s">
        <v>107</v>
      </c>
      <c r="D37" s="13" t="s">
        <v>111</v>
      </c>
      <c r="E37" s="55">
        <v>42094</v>
      </c>
      <c r="F37" s="55">
        <v>42094</v>
      </c>
      <c r="G37" s="13" t="s">
        <v>18</v>
      </c>
      <c r="H37" s="34"/>
      <c r="I37" s="34"/>
      <c r="J37" s="35"/>
      <c r="K37" s="35">
        <v>10</v>
      </c>
      <c r="L37" s="35"/>
      <c r="M37" s="35"/>
      <c r="N37" s="35"/>
      <c r="O37" s="36">
        <f t="shared" si="2"/>
        <v>10</v>
      </c>
      <c r="P37" s="35"/>
      <c r="Q37" s="35"/>
      <c r="R37" s="36">
        <f t="shared" ref="R37:R43" si="3">SUM(O37:Q37)</f>
        <v>10</v>
      </c>
      <c r="S37" s="9"/>
    </row>
    <row r="38" spans="1:19" s="12" customFormat="1" ht="12" x14ac:dyDescent="0.2">
      <c r="A38" s="7" t="s">
        <v>33</v>
      </c>
      <c r="B38" s="14" t="s">
        <v>34</v>
      </c>
      <c r="C38" s="11" t="s">
        <v>188</v>
      </c>
      <c r="D38" s="13" t="s">
        <v>136</v>
      </c>
      <c r="E38" s="55">
        <v>42155</v>
      </c>
      <c r="F38" s="55">
        <v>42156</v>
      </c>
      <c r="G38" s="13" t="s">
        <v>47</v>
      </c>
      <c r="H38" s="34"/>
      <c r="I38" s="34"/>
      <c r="J38" s="35">
        <v>386.65</v>
      </c>
      <c r="K38" s="35">
        <v>252.37</v>
      </c>
      <c r="L38" s="35">
        <v>258.13</v>
      </c>
      <c r="M38" s="35">
        <v>9.9499999999999993</v>
      </c>
      <c r="N38" s="35"/>
      <c r="O38" s="36">
        <f t="shared" si="2"/>
        <v>907.1</v>
      </c>
      <c r="P38" s="35"/>
      <c r="Q38" s="35"/>
      <c r="R38" s="36">
        <f t="shared" si="3"/>
        <v>907.1</v>
      </c>
      <c r="S38" s="9"/>
    </row>
    <row r="39" spans="1:19" s="49" customFormat="1" ht="12" x14ac:dyDescent="0.2">
      <c r="A39" s="7" t="s">
        <v>33</v>
      </c>
      <c r="B39" s="14" t="s">
        <v>34</v>
      </c>
      <c r="C39" s="11" t="s">
        <v>178</v>
      </c>
      <c r="D39" s="11" t="s">
        <v>178</v>
      </c>
      <c r="E39" s="55">
        <v>42165</v>
      </c>
      <c r="F39" s="55">
        <v>42165</v>
      </c>
      <c r="G39" s="13" t="s">
        <v>93</v>
      </c>
      <c r="H39" s="34"/>
      <c r="I39" s="34"/>
      <c r="J39" s="35">
        <v>547.25</v>
      </c>
      <c r="K39" s="35"/>
      <c r="L39" s="94"/>
      <c r="M39" s="35"/>
      <c r="N39" s="35"/>
      <c r="O39" s="36">
        <f t="shared" si="2"/>
        <v>547.25</v>
      </c>
      <c r="P39" s="35"/>
      <c r="Q39" s="35"/>
      <c r="R39" s="36">
        <f t="shared" si="3"/>
        <v>547.25</v>
      </c>
      <c r="S39" s="9"/>
    </row>
    <row r="40" spans="1:19" s="12" customFormat="1" ht="12" x14ac:dyDescent="0.2">
      <c r="A40" s="7" t="s">
        <v>33</v>
      </c>
      <c r="B40" s="14" t="s">
        <v>34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47</v>
      </c>
      <c r="H40" s="34"/>
      <c r="I40" s="34"/>
      <c r="J40" s="35">
        <v>391.25</v>
      </c>
      <c r="K40" s="35"/>
      <c r="L40" s="35"/>
      <c r="M40" s="35"/>
      <c r="N40" s="35"/>
      <c r="O40" s="47">
        <f t="shared" si="2"/>
        <v>391.25</v>
      </c>
      <c r="P40" s="35"/>
      <c r="Q40" s="35"/>
      <c r="R40" s="47">
        <f t="shared" si="3"/>
        <v>391.25</v>
      </c>
      <c r="S40" s="9"/>
    </row>
    <row r="41" spans="1:19" s="12" customFormat="1" ht="24" x14ac:dyDescent="0.2">
      <c r="A41" s="18" t="s">
        <v>2</v>
      </c>
      <c r="B41" s="18" t="s">
        <v>19</v>
      </c>
      <c r="C41" s="11" t="s">
        <v>157</v>
      </c>
      <c r="D41" s="18" t="s">
        <v>98</v>
      </c>
      <c r="E41" s="56">
        <v>42148</v>
      </c>
      <c r="F41" s="56">
        <v>42150</v>
      </c>
      <c r="G41" s="57" t="s">
        <v>180</v>
      </c>
      <c r="H41" s="38"/>
      <c r="I41" s="38"/>
      <c r="J41" s="29">
        <v>480.75</v>
      </c>
      <c r="K41" s="29">
        <v>92</v>
      </c>
      <c r="L41" s="29">
        <v>554.88</v>
      </c>
      <c r="M41" s="29">
        <v>40.4</v>
      </c>
      <c r="N41" s="29"/>
      <c r="O41" s="30">
        <f t="shared" si="2"/>
        <v>1168.0300000000002</v>
      </c>
      <c r="P41" s="29"/>
      <c r="Q41" s="29"/>
      <c r="R41" s="30">
        <f t="shared" si="3"/>
        <v>1168.0300000000002</v>
      </c>
      <c r="S41" s="9"/>
    </row>
    <row r="42" spans="1:19" s="12" customFormat="1" ht="24" x14ac:dyDescent="0.2">
      <c r="A42" s="37" t="s">
        <v>2</v>
      </c>
      <c r="B42" s="18" t="s">
        <v>191</v>
      </c>
      <c r="C42" s="11" t="s">
        <v>169</v>
      </c>
      <c r="D42" s="18" t="s">
        <v>132</v>
      </c>
      <c r="E42" s="55">
        <v>42181</v>
      </c>
      <c r="F42" s="55">
        <v>42182</v>
      </c>
      <c r="G42" s="57" t="s">
        <v>118</v>
      </c>
      <c r="H42" s="37"/>
      <c r="I42" s="37"/>
      <c r="J42" s="48">
        <v>311.24</v>
      </c>
      <c r="K42" s="54"/>
      <c r="L42" s="48">
        <v>119</v>
      </c>
      <c r="M42" s="48"/>
      <c r="N42" s="48"/>
      <c r="O42" s="47">
        <f t="shared" si="2"/>
        <v>430.24</v>
      </c>
      <c r="P42" s="48"/>
      <c r="Q42" s="48"/>
      <c r="R42" s="47">
        <f t="shared" si="3"/>
        <v>430.24</v>
      </c>
      <c r="S42" s="49"/>
    </row>
    <row r="43" spans="1:19" s="12" customFormat="1" ht="24" x14ac:dyDescent="0.2">
      <c r="A43" s="37" t="s">
        <v>133</v>
      </c>
      <c r="B43" s="18" t="s">
        <v>177</v>
      </c>
      <c r="C43" s="11" t="s">
        <v>186</v>
      </c>
      <c r="D43" s="18" t="s">
        <v>134</v>
      </c>
      <c r="E43" s="58">
        <v>42162</v>
      </c>
      <c r="F43" s="58">
        <v>42163</v>
      </c>
      <c r="G43" s="57" t="s">
        <v>135</v>
      </c>
      <c r="H43" s="37"/>
      <c r="I43" s="37"/>
      <c r="J43" s="48">
        <v>506.74</v>
      </c>
      <c r="K43" s="54"/>
      <c r="L43" s="48"/>
      <c r="M43" s="48"/>
      <c r="N43" s="48"/>
      <c r="O43" s="47">
        <f t="shared" si="2"/>
        <v>506.74</v>
      </c>
      <c r="P43" s="48"/>
      <c r="Q43" s="48"/>
      <c r="R43" s="47">
        <f t="shared" si="3"/>
        <v>506.74</v>
      </c>
      <c r="S43" s="49"/>
    </row>
    <row r="44" spans="1:19" s="49" customFormat="1" ht="12" x14ac:dyDescent="0.2">
      <c r="A44" s="37" t="s">
        <v>102</v>
      </c>
      <c r="B44" s="18" t="s">
        <v>25</v>
      </c>
      <c r="C44" s="11" t="s">
        <v>192</v>
      </c>
      <c r="D44" s="18" t="s">
        <v>113</v>
      </c>
      <c r="E44" s="58">
        <v>42155</v>
      </c>
      <c r="F44" s="58">
        <v>42155</v>
      </c>
      <c r="G44" s="57" t="s">
        <v>18</v>
      </c>
      <c r="H44" s="39"/>
      <c r="I44" s="39"/>
      <c r="J44" s="40"/>
      <c r="K44" s="40"/>
      <c r="L44" s="40">
        <v>159.12</v>
      </c>
      <c r="M44" s="40"/>
      <c r="N44" s="40"/>
      <c r="O44" s="26">
        <f t="shared" si="2"/>
        <v>159.12</v>
      </c>
      <c r="P44" s="40"/>
      <c r="Q44" s="40"/>
      <c r="R44" s="26">
        <f>SUM(O44:P44:Q44)</f>
        <v>159.12</v>
      </c>
      <c r="S44" s="9"/>
    </row>
    <row r="45" spans="1:19" s="49" customFormat="1" ht="12" x14ac:dyDescent="0.2">
      <c r="A45" s="10" t="s">
        <v>102</v>
      </c>
      <c r="B45" s="10" t="s">
        <v>25</v>
      </c>
      <c r="C45" s="11" t="s">
        <v>55</v>
      </c>
      <c r="D45" s="20"/>
      <c r="E45" s="55">
        <v>42165</v>
      </c>
      <c r="F45" s="55">
        <v>42166</v>
      </c>
      <c r="G45" s="10" t="s">
        <v>18</v>
      </c>
      <c r="H45" s="27"/>
      <c r="I45" s="27"/>
      <c r="J45" s="27"/>
      <c r="K45" s="28"/>
      <c r="L45" s="27">
        <v>159.12</v>
      </c>
      <c r="M45" s="27"/>
      <c r="N45" s="27"/>
      <c r="O45" s="47">
        <f t="shared" si="2"/>
        <v>159.12</v>
      </c>
      <c r="P45" s="27"/>
      <c r="Q45" s="27"/>
      <c r="R45" s="26">
        <f t="shared" ref="R45:R53" si="4">SUM(O45:Q45)</f>
        <v>159.12</v>
      </c>
      <c r="S45" s="12"/>
    </row>
    <row r="46" spans="1:19" s="9" customFormat="1" ht="12" x14ac:dyDescent="0.2">
      <c r="A46" s="10" t="s">
        <v>38</v>
      </c>
      <c r="B46" s="13" t="s">
        <v>168</v>
      </c>
      <c r="C46" s="11" t="s">
        <v>107</v>
      </c>
      <c r="D46" s="13" t="s">
        <v>109</v>
      </c>
      <c r="E46" s="55">
        <v>42094</v>
      </c>
      <c r="F46" s="55">
        <v>42094</v>
      </c>
      <c r="G46" s="13" t="s">
        <v>18</v>
      </c>
      <c r="H46" s="31"/>
      <c r="I46" s="31"/>
      <c r="J46" s="32"/>
      <c r="K46" s="32">
        <v>21</v>
      </c>
      <c r="L46" s="32"/>
      <c r="M46" s="32"/>
      <c r="N46" s="32"/>
      <c r="O46" s="33">
        <f t="shared" si="2"/>
        <v>21</v>
      </c>
      <c r="P46" s="32"/>
      <c r="Q46" s="32"/>
      <c r="R46" s="33">
        <f t="shared" si="4"/>
        <v>21</v>
      </c>
      <c r="S46" s="12"/>
    </row>
    <row r="47" spans="1:19" s="9" customFormat="1" ht="12" x14ac:dyDescent="0.2">
      <c r="A47" s="10" t="s">
        <v>38</v>
      </c>
      <c r="B47" s="13" t="s">
        <v>168</v>
      </c>
      <c r="C47" s="11" t="s">
        <v>107</v>
      </c>
      <c r="D47" s="13" t="s">
        <v>110</v>
      </c>
      <c r="E47" s="55">
        <v>42115</v>
      </c>
      <c r="F47" s="55">
        <v>42115</v>
      </c>
      <c r="G47" s="13" t="s">
        <v>18</v>
      </c>
      <c r="H47" s="31"/>
      <c r="I47" s="31"/>
      <c r="J47" s="32"/>
      <c r="K47" s="32">
        <f>5.5+9</f>
        <v>14.5</v>
      </c>
      <c r="L47" s="32"/>
      <c r="M47" s="32"/>
      <c r="N47" s="32"/>
      <c r="O47" s="33">
        <f t="shared" si="2"/>
        <v>14.5</v>
      </c>
      <c r="P47" s="32"/>
      <c r="Q47" s="32"/>
      <c r="R47" s="33">
        <f t="shared" si="4"/>
        <v>14.5</v>
      </c>
      <c r="S47" s="12"/>
    </row>
    <row r="48" spans="1:19" s="9" customFormat="1" ht="12" x14ac:dyDescent="0.2">
      <c r="A48" s="10" t="s">
        <v>38</v>
      </c>
      <c r="B48" s="13" t="s">
        <v>168</v>
      </c>
      <c r="C48" s="11" t="s">
        <v>186</v>
      </c>
      <c r="D48" s="13" t="s">
        <v>94</v>
      </c>
      <c r="E48" s="55">
        <v>42110</v>
      </c>
      <c r="F48" s="55">
        <v>42110</v>
      </c>
      <c r="G48" s="13" t="s">
        <v>18</v>
      </c>
      <c r="H48" s="27"/>
      <c r="I48" s="27"/>
      <c r="J48" s="28"/>
      <c r="K48" s="28">
        <v>22.12</v>
      </c>
      <c r="L48" s="28"/>
      <c r="M48" s="28"/>
      <c r="N48" s="28"/>
      <c r="O48" s="26">
        <f t="shared" si="2"/>
        <v>22.12</v>
      </c>
      <c r="P48" s="28"/>
      <c r="Q48" s="28"/>
      <c r="R48" s="26">
        <f t="shared" si="4"/>
        <v>22.12</v>
      </c>
    </row>
    <row r="49" spans="1:19" s="9" customFormat="1" ht="12" x14ac:dyDescent="0.2">
      <c r="A49" s="10" t="s">
        <v>38</v>
      </c>
      <c r="B49" s="13" t="s">
        <v>168</v>
      </c>
      <c r="C49" s="11" t="s">
        <v>186</v>
      </c>
      <c r="D49" s="13" t="s">
        <v>95</v>
      </c>
      <c r="E49" s="55">
        <v>42128</v>
      </c>
      <c r="F49" s="55">
        <v>42128</v>
      </c>
      <c r="G49" s="13" t="s">
        <v>18</v>
      </c>
      <c r="H49" s="27"/>
      <c r="I49" s="27"/>
      <c r="J49" s="28"/>
      <c r="K49" s="28">
        <v>22.12</v>
      </c>
      <c r="L49" s="28"/>
      <c r="M49" s="28"/>
      <c r="N49" s="28"/>
      <c r="O49" s="26">
        <f t="shared" si="2"/>
        <v>22.12</v>
      </c>
      <c r="P49" s="28"/>
      <c r="Q49" s="28"/>
      <c r="R49" s="26">
        <f t="shared" si="4"/>
        <v>22.12</v>
      </c>
    </row>
    <row r="50" spans="1:19" s="9" customFormat="1" ht="12" x14ac:dyDescent="0.2">
      <c r="A50" s="10" t="s">
        <v>38</v>
      </c>
      <c r="B50" s="13" t="s">
        <v>168</v>
      </c>
      <c r="C50" s="11" t="s">
        <v>178</v>
      </c>
      <c r="D50" s="11" t="s">
        <v>178</v>
      </c>
      <c r="E50" s="55">
        <v>42144</v>
      </c>
      <c r="F50" s="55">
        <v>42144</v>
      </c>
      <c r="G50" s="13" t="s">
        <v>129</v>
      </c>
      <c r="H50" s="27"/>
      <c r="I50" s="27"/>
      <c r="J50" s="28"/>
      <c r="K50" s="28"/>
      <c r="L50" s="28"/>
      <c r="M50" s="28">
        <v>10.08</v>
      </c>
      <c r="N50" s="28"/>
      <c r="O50" s="47">
        <f t="shared" si="2"/>
        <v>10.08</v>
      </c>
      <c r="P50" s="28"/>
      <c r="Q50" s="28"/>
      <c r="R50" s="26">
        <f t="shared" si="4"/>
        <v>10.08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178</v>
      </c>
      <c r="D51" s="11" t="s">
        <v>178</v>
      </c>
      <c r="E51" s="55">
        <v>42145</v>
      </c>
      <c r="F51" s="55">
        <v>42145</v>
      </c>
      <c r="G51" s="13" t="s">
        <v>128</v>
      </c>
      <c r="H51" s="27"/>
      <c r="I51" s="27"/>
      <c r="J51" s="28"/>
      <c r="K51" s="28">
        <f>141+20.13</f>
        <v>161.13</v>
      </c>
      <c r="L51" s="28">
        <v>165</v>
      </c>
      <c r="M51" s="28"/>
      <c r="N51" s="28"/>
      <c r="O51" s="47">
        <f t="shared" si="2"/>
        <v>326.13</v>
      </c>
      <c r="P51" s="28"/>
      <c r="Q51" s="28"/>
      <c r="R51" s="26">
        <f t="shared" si="4"/>
        <v>326.13</v>
      </c>
      <c r="S51" s="12"/>
    </row>
    <row r="52" spans="1:19" s="9" customFormat="1" ht="12" x14ac:dyDescent="0.2">
      <c r="A52" s="10" t="s">
        <v>38</v>
      </c>
      <c r="B52" s="13" t="s">
        <v>168</v>
      </c>
      <c r="C52" s="11" t="s">
        <v>130</v>
      </c>
      <c r="D52" s="11" t="s">
        <v>131</v>
      </c>
      <c r="E52" s="55">
        <v>42147</v>
      </c>
      <c r="F52" s="55">
        <v>42147</v>
      </c>
      <c r="G52" s="13" t="s">
        <v>18</v>
      </c>
      <c r="H52" s="27"/>
      <c r="I52" s="27"/>
      <c r="J52" s="28"/>
      <c r="K52" s="28">
        <v>5</v>
      </c>
      <c r="L52" s="28"/>
      <c r="M52" s="28"/>
      <c r="N52" s="28"/>
      <c r="O52" s="26">
        <f t="shared" si="2"/>
        <v>5</v>
      </c>
      <c r="P52" s="28"/>
      <c r="Q52" s="28"/>
      <c r="R52" s="26">
        <f t="shared" si="4"/>
        <v>5</v>
      </c>
      <c r="S52" s="12"/>
    </row>
    <row r="53" spans="1:19" s="9" customFormat="1" ht="12" x14ac:dyDescent="0.2">
      <c r="A53" s="10" t="s">
        <v>38</v>
      </c>
      <c r="B53" s="13" t="s">
        <v>168</v>
      </c>
      <c r="C53" s="11" t="s">
        <v>178</v>
      </c>
      <c r="D53" s="11" t="s">
        <v>178</v>
      </c>
      <c r="E53" s="55">
        <v>42152</v>
      </c>
      <c r="F53" s="55">
        <v>42152</v>
      </c>
      <c r="G53" s="13" t="s">
        <v>18</v>
      </c>
      <c r="H53" s="27"/>
      <c r="I53" s="27"/>
      <c r="J53" s="28"/>
      <c r="K53" s="28"/>
      <c r="L53" s="28"/>
      <c r="M53" s="28">
        <v>9.9499999999999993</v>
      </c>
      <c r="N53" s="28"/>
      <c r="O53" s="26">
        <f t="shared" si="2"/>
        <v>9.9499999999999993</v>
      </c>
      <c r="P53" s="28"/>
      <c r="Q53" s="28"/>
      <c r="R53" s="26">
        <f t="shared" si="4"/>
        <v>9.9499999999999993</v>
      </c>
      <c r="S53" s="12"/>
    </row>
  </sheetData>
  <autoFilter ref="A1:R53" xr:uid="{00000000-0009-0000-0000-00000E000000}"/>
  <sortState xmlns:xlrd2="http://schemas.microsoft.com/office/spreadsheetml/2017/richdata2"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5"/>
  <sheetViews>
    <sheetView workbookViewId="0">
      <selection activeCell="D16" sqref="D16"/>
    </sheetView>
  </sheetViews>
  <sheetFormatPr defaultRowHeight="14.25" x14ac:dyDescent="0.2"/>
  <cols>
    <col min="1" max="1" width="16.5" bestFit="1" customWidth="1"/>
    <col min="2" max="2" width="20.75" bestFit="1" customWidth="1"/>
    <col min="3" max="3" width="30.625" bestFit="1" customWidth="1"/>
    <col min="4" max="4" width="55.875" bestFit="1" customWidth="1"/>
    <col min="5" max="6" width="9.875" bestFit="1" customWidth="1"/>
    <col min="7" max="7" width="12.5" bestFit="1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36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12" x14ac:dyDescent="0.2">
      <c r="A3" s="7" t="s">
        <v>30</v>
      </c>
      <c r="B3" s="8" t="s">
        <v>25</v>
      </c>
      <c r="C3" s="11" t="s">
        <v>55</v>
      </c>
      <c r="D3" s="20"/>
      <c r="E3" s="55">
        <v>42165</v>
      </c>
      <c r="F3" s="55">
        <v>42166</v>
      </c>
      <c r="G3" s="10" t="s">
        <v>18</v>
      </c>
      <c r="H3" s="27"/>
      <c r="I3" s="74"/>
      <c r="J3" s="27"/>
      <c r="K3" s="28">
        <v>83.2</v>
      </c>
      <c r="L3" s="27"/>
      <c r="M3" s="27"/>
      <c r="N3" s="27"/>
      <c r="O3" s="26">
        <f t="shared" si="0"/>
        <v>83.2</v>
      </c>
      <c r="P3" s="27"/>
      <c r="Q3" s="27"/>
      <c r="R3" s="26">
        <f>SUM(O3:Q3)</f>
        <v>83.2</v>
      </c>
    </row>
    <row r="4" spans="1:19" s="12" customFormat="1" ht="12" x14ac:dyDescent="0.2">
      <c r="A4" s="7" t="s">
        <v>30</v>
      </c>
      <c r="B4" s="8" t="s">
        <v>25</v>
      </c>
      <c r="C4" s="8" t="s">
        <v>192</v>
      </c>
      <c r="D4" s="20"/>
      <c r="E4" s="55">
        <v>42201</v>
      </c>
      <c r="F4" s="55">
        <v>42201</v>
      </c>
      <c r="G4" s="13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9" s="12" customFormat="1" ht="12" x14ac:dyDescent="0.2">
      <c r="A5" s="7" t="s">
        <v>30</v>
      </c>
      <c r="B5" s="8" t="s">
        <v>25</v>
      </c>
      <c r="C5" s="8" t="s">
        <v>169</v>
      </c>
      <c r="D5" s="20"/>
      <c r="E5" s="55">
        <v>42242</v>
      </c>
      <c r="F5" s="55">
        <v>42243</v>
      </c>
      <c r="G5" s="13" t="s">
        <v>18</v>
      </c>
      <c r="H5" s="7"/>
      <c r="I5" s="20"/>
      <c r="J5" s="46"/>
      <c r="K5" s="46">
        <v>118.2</v>
      </c>
      <c r="L5" s="46">
        <v>152.96</v>
      </c>
      <c r="M5" s="46"/>
      <c r="N5" s="46"/>
      <c r="O5" s="47">
        <f t="shared" si="0"/>
        <v>271.16000000000003</v>
      </c>
      <c r="P5" s="46"/>
      <c r="Q5" s="46"/>
      <c r="R5" s="47">
        <f>SUM(O5:P5:Q5)</f>
        <v>271.16000000000003</v>
      </c>
    </row>
    <row r="6" spans="1:19" s="12" customFormat="1" ht="24" x14ac:dyDescent="0.2">
      <c r="A6" s="10" t="s">
        <v>20</v>
      </c>
      <c r="B6" s="10" t="s">
        <v>21</v>
      </c>
      <c r="C6" s="8" t="s">
        <v>193</v>
      </c>
      <c r="D6" s="10" t="s">
        <v>175</v>
      </c>
      <c r="E6" s="55">
        <v>42115</v>
      </c>
      <c r="F6" s="55">
        <v>42115</v>
      </c>
      <c r="G6" s="10" t="s">
        <v>18</v>
      </c>
      <c r="H6" s="27"/>
      <c r="I6" s="27"/>
      <c r="J6" s="27"/>
      <c r="K6" s="28">
        <v>22</v>
      </c>
      <c r="L6" s="27"/>
      <c r="M6" s="27"/>
      <c r="N6" s="27"/>
      <c r="O6" s="26">
        <f t="shared" si="0"/>
        <v>22</v>
      </c>
      <c r="P6" s="27"/>
      <c r="Q6" s="27"/>
      <c r="R6" s="26">
        <f t="shared" ref="R6:R15" si="1">SUM(O6:Q6)</f>
        <v>22</v>
      </c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141</v>
      </c>
      <c r="E8" s="55">
        <v>42130</v>
      </c>
      <c r="F8" s="55">
        <v>42130</v>
      </c>
      <c r="G8" s="10" t="s">
        <v>47</v>
      </c>
      <c r="H8" s="27"/>
      <c r="I8" s="27"/>
      <c r="J8" s="27"/>
      <c r="K8" s="28">
        <v>70</v>
      </c>
      <c r="L8" s="27"/>
      <c r="M8" s="27">
        <v>7.75</v>
      </c>
      <c r="N8" s="27"/>
      <c r="O8" s="26">
        <f t="shared" si="0"/>
        <v>77.75</v>
      </c>
      <c r="P8" s="27"/>
      <c r="Q8" s="27"/>
      <c r="R8" s="26">
        <f t="shared" si="1"/>
        <v>77.75</v>
      </c>
    </row>
    <row r="9" spans="1:19" s="9" customFormat="1" ht="12" x14ac:dyDescent="0.2">
      <c r="A9" s="10" t="s">
        <v>20</v>
      </c>
      <c r="B9" s="10" t="s">
        <v>21</v>
      </c>
      <c r="C9" s="8" t="s">
        <v>190</v>
      </c>
      <c r="D9" s="10" t="s">
        <v>142</v>
      </c>
      <c r="E9" s="55">
        <v>42137</v>
      </c>
      <c r="F9" s="55">
        <v>42137</v>
      </c>
      <c r="G9" s="10" t="s">
        <v>18</v>
      </c>
      <c r="H9" s="27"/>
      <c r="I9" s="27"/>
      <c r="J9" s="27"/>
      <c r="K9" s="28">
        <v>19.5</v>
      </c>
      <c r="L9" s="27"/>
      <c r="M9" s="27"/>
      <c r="N9" s="27"/>
      <c r="O9" s="26">
        <f t="shared" si="0"/>
        <v>19.5</v>
      </c>
      <c r="P9" s="27"/>
      <c r="Q9" s="27"/>
      <c r="R9" s="26">
        <f t="shared" si="1"/>
        <v>19.5</v>
      </c>
      <c r="S9" s="12"/>
    </row>
    <row r="10" spans="1:19" s="12" customFormat="1" ht="24" x14ac:dyDescent="0.2">
      <c r="A10" s="10" t="s">
        <v>20</v>
      </c>
      <c r="B10" s="10" t="s">
        <v>21</v>
      </c>
      <c r="C10" s="8" t="s">
        <v>195</v>
      </c>
      <c r="D10" s="20" t="s">
        <v>164</v>
      </c>
      <c r="E10" s="55">
        <v>42143</v>
      </c>
      <c r="F10" s="55">
        <v>42153</v>
      </c>
      <c r="G10" s="13" t="s">
        <v>18</v>
      </c>
      <c r="H10" s="7"/>
      <c r="I10" s="7"/>
      <c r="J10" s="46"/>
      <c r="K10" s="46">
        <v>48.25</v>
      </c>
      <c r="L10" s="46"/>
      <c r="M10" s="46"/>
      <c r="N10" s="46"/>
      <c r="O10" s="26">
        <f t="shared" si="0"/>
        <v>48.25</v>
      </c>
      <c r="P10" s="46"/>
      <c r="Q10" s="46"/>
      <c r="R10" s="26">
        <f t="shared" si="1"/>
        <v>48.25</v>
      </c>
      <c r="S10" s="9"/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122</v>
      </c>
      <c r="E11" s="55">
        <v>42149</v>
      </c>
      <c r="F11" s="55">
        <v>42149</v>
      </c>
      <c r="G11" s="10" t="s">
        <v>47</v>
      </c>
      <c r="H11" s="27"/>
      <c r="I11" s="27"/>
      <c r="J11" s="27"/>
      <c r="K11" s="28">
        <v>21.9</v>
      </c>
      <c r="L11" s="27"/>
      <c r="M11" s="27"/>
      <c r="N11" s="27"/>
      <c r="O11" s="26">
        <f t="shared" si="0"/>
        <v>21.9</v>
      </c>
      <c r="P11" s="27"/>
      <c r="Q11" s="27"/>
      <c r="R11" s="26">
        <f t="shared" si="1"/>
        <v>21.9</v>
      </c>
    </row>
    <row r="12" spans="1:19" s="12" customFormat="1" ht="24" x14ac:dyDescent="0.2">
      <c r="A12" s="10" t="s">
        <v>20</v>
      </c>
      <c r="B12" s="10" t="s">
        <v>21</v>
      </c>
      <c r="C12" s="11" t="s">
        <v>186</v>
      </c>
      <c r="D12" s="10" t="s">
        <v>140</v>
      </c>
      <c r="E12" s="55">
        <v>42158</v>
      </c>
      <c r="F12" s="55">
        <v>42158</v>
      </c>
      <c r="G12" s="10" t="s">
        <v>18</v>
      </c>
      <c r="H12" s="27"/>
      <c r="I12" s="27"/>
      <c r="J12" s="27"/>
      <c r="K12" s="28">
        <v>32</v>
      </c>
      <c r="L12" s="27"/>
      <c r="M12" s="27"/>
      <c r="N12" s="27"/>
      <c r="O12" s="26">
        <f t="shared" si="0"/>
        <v>32</v>
      </c>
      <c r="P12" s="27"/>
      <c r="Q12" s="27"/>
      <c r="R12" s="26">
        <f t="shared" si="1"/>
        <v>32</v>
      </c>
    </row>
    <row r="13" spans="1:19" s="12" customFormat="1" ht="24" x14ac:dyDescent="0.2">
      <c r="A13" s="10" t="s">
        <v>20</v>
      </c>
      <c r="B13" s="10" t="s">
        <v>21</v>
      </c>
      <c r="C13" s="11" t="s">
        <v>186</v>
      </c>
      <c r="D13" s="10" t="s">
        <v>143</v>
      </c>
      <c r="E13" s="55">
        <v>42159</v>
      </c>
      <c r="F13" s="55">
        <v>42159</v>
      </c>
      <c r="G13" s="10" t="s">
        <v>18</v>
      </c>
      <c r="H13" s="27"/>
      <c r="I13" s="27"/>
      <c r="J13" s="27"/>
      <c r="K13" s="28">
        <v>64</v>
      </c>
      <c r="L13" s="27"/>
      <c r="M13" s="27"/>
      <c r="N13" s="27"/>
      <c r="O13" s="26">
        <f t="shared" si="0"/>
        <v>64</v>
      </c>
      <c r="P13" s="27"/>
      <c r="Q13" s="27"/>
      <c r="R13" s="26">
        <f t="shared" si="1"/>
        <v>64</v>
      </c>
    </row>
    <row r="14" spans="1:19" s="9" customFormat="1" ht="24" x14ac:dyDescent="0.2">
      <c r="A14" s="10" t="s">
        <v>20</v>
      </c>
      <c r="B14" s="10" t="s">
        <v>21</v>
      </c>
      <c r="C14" s="11" t="s">
        <v>186</v>
      </c>
      <c r="D14" s="20" t="s">
        <v>153</v>
      </c>
      <c r="E14" s="55">
        <v>42163</v>
      </c>
      <c r="F14" s="55">
        <v>42164</v>
      </c>
      <c r="G14" s="10" t="s">
        <v>144</v>
      </c>
      <c r="H14" s="27"/>
      <c r="I14" s="27"/>
      <c r="J14" s="27"/>
      <c r="K14" s="28">
        <v>112.6</v>
      </c>
      <c r="L14" s="27">
        <v>135</v>
      </c>
      <c r="M14" s="27"/>
      <c r="N14" s="27"/>
      <c r="O14" s="26">
        <f t="shared" si="0"/>
        <v>247.6</v>
      </c>
      <c r="P14" s="27"/>
      <c r="Q14" s="27"/>
      <c r="R14" s="26">
        <f t="shared" si="1"/>
        <v>247.6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179</v>
      </c>
      <c r="D15" s="10" t="s">
        <v>163</v>
      </c>
      <c r="E15" s="55">
        <v>42173</v>
      </c>
      <c r="F15" s="55">
        <v>42176</v>
      </c>
      <c r="G15" s="10" t="s">
        <v>118</v>
      </c>
      <c r="H15" s="27"/>
      <c r="I15" s="27"/>
      <c r="J15" s="27"/>
      <c r="K15" s="28">
        <f>122.4+29</f>
        <v>151.4</v>
      </c>
      <c r="L15" s="27"/>
      <c r="M15" s="27">
        <v>45.07</v>
      </c>
      <c r="N15" s="27"/>
      <c r="O15" s="26">
        <f t="shared" si="0"/>
        <v>196.47</v>
      </c>
      <c r="P15" s="27"/>
      <c r="Q15" s="27"/>
      <c r="R15" s="26">
        <f t="shared" si="1"/>
        <v>196.47</v>
      </c>
      <c r="S15" s="12"/>
    </row>
    <row r="16" spans="1:19" s="12" customFormat="1" ht="12" x14ac:dyDescent="0.2">
      <c r="A16" s="10" t="s">
        <v>20</v>
      </c>
      <c r="B16" s="10" t="s">
        <v>21</v>
      </c>
      <c r="C16" s="8" t="s">
        <v>179</v>
      </c>
      <c r="D16" s="20" t="s">
        <v>60</v>
      </c>
      <c r="E16" s="55">
        <v>42179</v>
      </c>
      <c r="F16" s="55">
        <v>42179</v>
      </c>
      <c r="G16" s="13" t="s">
        <v>18</v>
      </c>
      <c r="H16" s="7"/>
      <c r="I16" s="7"/>
      <c r="J16" s="46"/>
      <c r="K16" s="46">
        <v>16.8</v>
      </c>
      <c r="L16" s="46"/>
      <c r="M16" s="46"/>
      <c r="N16" s="46"/>
      <c r="O16" s="47">
        <f t="shared" si="0"/>
        <v>16.8</v>
      </c>
      <c r="P16" s="46"/>
      <c r="Q16" s="46"/>
      <c r="R16" s="47">
        <f>SUM(O16:P16:Q16)</f>
        <v>16.8</v>
      </c>
      <c r="S16" s="9"/>
    </row>
    <row r="17" spans="1:19" s="49" customFormat="1" ht="12" x14ac:dyDescent="0.2">
      <c r="A17" s="10" t="s">
        <v>20</v>
      </c>
      <c r="B17" s="10" t="s">
        <v>21</v>
      </c>
      <c r="C17" s="11" t="s">
        <v>172</v>
      </c>
      <c r="D17" s="10" t="s">
        <v>145</v>
      </c>
      <c r="E17" s="55">
        <v>42180</v>
      </c>
      <c r="F17" s="55">
        <v>42180</v>
      </c>
      <c r="G17" s="10" t="s">
        <v>18</v>
      </c>
      <c r="H17" s="27"/>
      <c r="I17" s="27"/>
      <c r="J17" s="27"/>
      <c r="K17" s="28">
        <v>22.04</v>
      </c>
      <c r="L17" s="27"/>
      <c r="M17" s="27"/>
      <c r="N17" s="27"/>
      <c r="O17" s="26">
        <f t="shared" si="0"/>
        <v>22.04</v>
      </c>
      <c r="P17" s="27"/>
      <c r="Q17" s="27"/>
      <c r="R17" s="26">
        <f t="shared" ref="R17:R27" si="2">SUM(O17:Q17)</f>
        <v>22.04</v>
      </c>
      <c r="S17" s="12"/>
    </row>
    <row r="18" spans="1:19" s="12" customFormat="1" ht="12" x14ac:dyDescent="0.2">
      <c r="A18" s="10" t="s">
        <v>20</v>
      </c>
      <c r="B18" s="10" t="s">
        <v>21</v>
      </c>
      <c r="C18" s="11" t="s">
        <v>172</v>
      </c>
      <c r="D18" s="10" t="s">
        <v>146</v>
      </c>
      <c r="E18" s="55">
        <v>42182</v>
      </c>
      <c r="F18" s="55">
        <v>42182</v>
      </c>
      <c r="G18" s="10" t="s">
        <v>18</v>
      </c>
      <c r="H18" s="27"/>
      <c r="I18" s="27"/>
      <c r="J18" s="27"/>
      <c r="K18" s="28">
        <v>3.25</v>
      </c>
      <c r="L18" s="27"/>
      <c r="M18" s="27"/>
      <c r="N18" s="27"/>
      <c r="O18" s="26">
        <f t="shared" si="0"/>
        <v>3.25</v>
      </c>
      <c r="P18" s="27"/>
      <c r="Q18" s="27"/>
      <c r="R18" s="26">
        <f t="shared" si="2"/>
        <v>3.25</v>
      </c>
    </row>
    <row r="19" spans="1:19" s="49" customFormat="1" ht="12" x14ac:dyDescent="0.2">
      <c r="A19" s="10" t="s">
        <v>20</v>
      </c>
      <c r="B19" s="10" t="s">
        <v>21</v>
      </c>
      <c r="C19" s="11" t="s">
        <v>190</v>
      </c>
      <c r="D19" s="10" t="s">
        <v>147</v>
      </c>
      <c r="E19" s="55">
        <v>42194</v>
      </c>
      <c r="F19" s="55">
        <v>42194</v>
      </c>
      <c r="G19" s="10" t="s">
        <v>18</v>
      </c>
      <c r="H19" s="27"/>
      <c r="I19" s="27"/>
      <c r="J19" s="27"/>
      <c r="K19" s="28">
        <v>10.18</v>
      </c>
      <c r="L19" s="27"/>
      <c r="M19" s="27"/>
      <c r="N19" s="27"/>
      <c r="O19" s="26">
        <f t="shared" si="0"/>
        <v>10.18</v>
      </c>
      <c r="P19" s="27"/>
      <c r="Q19" s="27"/>
      <c r="R19" s="26">
        <f t="shared" si="2"/>
        <v>10.18</v>
      </c>
      <c r="S19" s="12"/>
    </row>
    <row r="20" spans="1:19" s="12" customFormat="1" ht="12" x14ac:dyDescent="0.2">
      <c r="A20" s="10" t="s">
        <v>20</v>
      </c>
      <c r="B20" s="10" t="s">
        <v>21</v>
      </c>
      <c r="C20" s="11" t="s">
        <v>107</v>
      </c>
      <c r="D20" s="8" t="s">
        <v>159</v>
      </c>
      <c r="E20" s="55">
        <v>42220</v>
      </c>
      <c r="F20" s="55">
        <v>42220</v>
      </c>
      <c r="G20" s="10" t="s">
        <v>18</v>
      </c>
      <c r="H20" s="27"/>
      <c r="I20" s="74"/>
      <c r="J20" s="27"/>
      <c r="K20" s="28">
        <v>10</v>
      </c>
      <c r="L20" s="27"/>
      <c r="M20" s="27"/>
      <c r="N20" s="27"/>
      <c r="O20" s="26">
        <f t="shared" si="0"/>
        <v>10</v>
      </c>
      <c r="P20" s="27"/>
      <c r="Q20" s="27"/>
      <c r="R20" s="26">
        <f t="shared" si="2"/>
        <v>10</v>
      </c>
    </row>
    <row r="21" spans="1:19" s="12" customFormat="1" ht="12" x14ac:dyDescent="0.2">
      <c r="A21" s="10" t="s">
        <v>20</v>
      </c>
      <c r="B21" s="10" t="s">
        <v>21</v>
      </c>
      <c r="C21" s="8" t="s">
        <v>190</v>
      </c>
      <c r="D21" s="8" t="s">
        <v>183</v>
      </c>
      <c r="E21" s="55">
        <v>42236</v>
      </c>
      <c r="F21" s="55">
        <v>42236</v>
      </c>
      <c r="G21" s="10" t="s">
        <v>18</v>
      </c>
      <c r="H21" s="27"/>
      <c r="I21" s="74"/>
      <c r="J21" s="27"/>
      <c r="K21" s="28">
        <v>4.5</v>
      </c>
      <c r="L21" s="27"/>
      <c r="M21" s="27"/>
      <c r="N21" s="27"/>
      <c r="O21" s="26">
        <f t="shared" si="0"/>
        <v>4.5</v>
      </c>
      <c r="P21" s="27"/>
      <c r="Q21" s="27"/>
      <c r="R21" s="26">
        <f t="shared" si="2"/>
        <v>4.5</v>
      </c>
    </row>
    <row r="22" spans="1:19" s="49" customFormat="1" ht="12" x14ac:dyDescent="0.2">
      <c r="A22" s="10" t="s">
        <v>20</v>
      </c>
      <c r="B22" s="10" t="s">
        <v>21</v>
      </c>
      <c r="C22" s="11" t="s">
        <v>107</v>
      </c>
      <c r="D22" s="8" t="s">
        <v>184</v>
      </c>
      <c r="E22" s="55">
        <v>42241</v>
      </c>
      <c r="F22" s="55">
        <v>42241</v>
      </c>
      <c r="G22" s="10" t="s">
        <v>18</v>
      </c>
      <c r="H22" s="27"/>
      <c r="I22" s="74"/>
      <c r="J22" s="27"/>
      <c r="K22" s="28">
        <v>8</v>
      </c>
      <c r="L22" s="27"/>
      <c r="M22" s="27"/>
      <c r="N22" s="27"/>
      <c r="O22" s="26">
        <f t="shared" si="0"/>
        <v>8</v>
      </c>
      <c r="P22" s="27"/>
      <c r="Q22" s="27"/>
      <c r="R22" s="26">
        <f t="shared" si="2"/>
        <v>8</v>
      </c>
      <c r="S22" s="12"/>
    </row>
    <row r="23" spans="1:19" s="49" customFormat="1" ht="24" x14ac:dyDescent="0.2">
      <c r="A23" s="10" t="s">
        <v>20</v>
      </c>
      <c r="B23" s="10" t="s">
        <v>21</v>
      </c>
      <c r="C23" s="11" t="s">
        <v>186</v>
      </c>
      <c r="D23" s="10" t="s">
        <v>158</v>
      </c>
      <c r="E23" s="55">
        <v>42242</v>
      </c>
      <c r="F23" s="55">
        <v>42244</v>
      </c>
      <c r="G23" s="10" t="s">
        <v>171</v>
      </c>
      <c r="H23" s="27"/>
      <c r="I23" s="74"/>
      <c r="J23" s="27">
        <v>1063.25</v>
      </c>
      <c r="K23" s="28">
        <v>93.05</v>
      </c>
      <c r="L23" s="27"/>
      <c r="M23" s="27"/>
      <c r="N23" s="27"/>
      <c r="O23" s="26">
        <f t="shared" si="0"/>
        <v>1156.3</v>
      </c>
      <c r="P23" s="27"/>
      <c r="Q23" s="27"/>
      <c r="R23" s="26">
        <f t="shared" si="2"/>
        <v>1156.3</v>
      </c>
      <c r="S23" s="12"/>
    </row>
    <row r="24" spans="1:19" s="49" customFormat="1" ht="24" x14ac:dyDescent="0.2">
      <c r="A24" s="7" t="s">
        <v>31</v>
      </c>
      <c r="B24" s="14" t="s">
        <v>139</v>
      </c>
      <c r="C24" s="11" t="s">
        <v>169</v>
      </c>
      <c r="D24" s="13" t="s">
        <v>132</v>
      </c>
      <c r="E24" s="55">
        <v>42177</v>
      </c>
      <c r="F24" s="55">
        <v>42178</v>
      </c>
      <c r="G24" s="13" t="s">
        <v>155</v>
      </c>
      <c r="H24" s="52"/>
      <c r="I24" s="27"/>
      <c r="J24" s="28"/>
      <c r="K24" s="28"/>
      <c r="L24" s="28">
        <v>89.99</v>
      </c>
      <c r="M24" s="28"/>
      <c r="N24" s="28"/>
      <c r="O24" s="26">
        <f t="shared" si="0"/>
        <v>89.99</v>
      </c>
      <c r="P24" s="28"/>
      <c r="Q24" s="28"/>
      <c r="R24" s="26">
        <f t="shared" si="2"/>
        <v>89.99</v>
      </c>
      <c r="S24" s="9"/>
    </row>
    <row r="25" spans="1:19" s="12" customFormat="1" ht="24" x14ac:dyDescent="0.2">
      <c r="A25" s="7" t="s">
        <v>31</v>
      </c>
      <c r="B25" s="14" t="s">
        <v>139</v>
      </c>
      <c r="C25" s="8" t="s">
        <v>190</v>
      </c>
      <c r="D25" s="13" t="s">
        <v>161</v>
      </c>
      <c r="E25" s="55">
        <v>42212</v>
      </c>
      <c r="F25" s="55">
        <v>42212</v>
      </c>
      <c r="G25" s="13" t="s">
        <v>18</v>
      </c>
      <c r="H25" s="31" t="s">
        <v>133</v>
      </c>
      <c r="I25" s="77">
        <v>1</v>
      </c>
      <c r="J25" s="28"/>
      <c r="K25" s="28"/>
      <c r="L25" s="28"/>
      <c r="M25" s="28"/>
      <c r="N25" s="28"/>
      <c r="O25" s="26">
        <f t="shared" si="0"/>
        <v>0</v>
      </c>
      <c r="P25" s="28">
        <v>78.75</v>
      </c>
      <c r="Q25" s="28"/>
      <c r="R25" s="26">
        <f t="shared" si="2"/>
        <v>78.75</v>
      </c>
      <c r="S25" s="9"/>
    </row>
    <row r="26" spans="1:19" s="12" customFormat="1" ht="24" x14ac:dyDescent="0.2">
      <c r="A26" s="7" t="s">
        <v>31</v>
      </c>
      <c r="B26" s="14" t="s">
        <v>139</v>
      </c>
      <c r="C26" s="11" t="s">
        <v>193</v>
      </c>
      <c r="D26" s="13" t="s">
        <v>162</v>
      </c>
      <c r="E26" s="55">
        <v>42226</v>
      </c>
      <c r="F26" s="55">
        <v>42226</v>
      </c>
      <c r="G26" s="13" t="s">
        <v>18</v>
      </c>
      <c r="H26" s="52"/>
      <c r="I26" s="74"/>
      <c r="J26" s="28"/>
      <c r="K26" s="28">
        <v>18.14</v>
      </c>
      <c r="L26" s="28"/>
      <c r="M26" s="28"/>
      <c r="N26" s="28"/>
      <c r="O26" s="26">
        <f t="shared" si="0"/>
        <v>18.14</v>
      </c>
      <c r="P26" s="28"/>
      <c r="Q26" s="28"/>
      <c r="R26" s="26">
        <f t="shared" si="2"/>
        <v>18.14</v>
      </c>
    </row>
    <row r="27" spans="1:19" s="12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74"/>
      <c r="J27" s="27">
        <v>563.08000000000004</v>
      </c>
      <c r="K27" s="28">
        <v>117</v>
      </c>
      <c r="L27" s="27"/>
      <c r="M27" s="27"/>
      <c r="N27" s="27"/>
      <c r="O27" s="26">
        <f t="shared" si="0"/>
        <v>680.08</v>
      </c>
      <c r="P27" s="27"/>
      <c r="Q27" s="27"/>
      <c r="R27" s="26">
        <f t="shared" si="2"/>
        <v>680.08</v>
      </c>
      <c r="S27" s="9"/>
    </row>
    <row r="28" spans="1:19" s="12" customFormat="1" ht="12" x14ac:dyDescent="0.2">
      <c r="A28" s="7" t="s">
        <v>27</v>
      </c>
      <c r="B28" s="8" t="s">
        <v>174</v>
      </c>
      <c r="C28" s="8" t="s">
        <v>192</v>
      </c>
      <c r="D28" s="18"/>
      <c r="E28" s="55">
        <v>42146</v>
      </c>
      <c r="F28" s="55">
        <v>42146</v>
      </c>
      <c r="G28" s="57" t="s">
        <v>18</v>
      </c>
      <c r="H28" s="37"/>
      <c r="I28" s="37"/>
      <c r="J28" s="48"/>
      <c r="K28" s="48">
        <v>14.5</v>
      </c>
      <c r="L28" s="48"/>
      <c r="M28" s="48"/>
      <c r="N28" s="48"/>
      <c r="O28" s="47">
        <f t="shared" si="0"/>
        <v>14.5</v>
      </c>
      <c r="P28" s="48"/>
      <c r="Q28" s="48"/>
      <c r="R28" s="47">
        <f>SUM(O28:P28:Q28)</f>
        <v>14.5</v>
      </c>
      <c r="S28" s="9"/>
    </row>
    <row r="29" spans="1:19" s="87" customFormat="1" ht="23.45" customHeight="1" x14ac:dyDescent="0.2">
      <c r="A29" s="7" t="s">
        <v>27</v>
      </c>
      <c r="B29" s="8" t="s">
        <v>174</v>
      </c>
      <c r="C29" s="11" t="s">
        <v>192</v>
      </c>
      <c r="D29" s="18"/>
      <c r="E29" s="55">
        <v>42156</v>
      </c>
      <c r="F29" s="55">
        <v>42156</v>
      </c>
      <c r="G29" s="57" t="s">
        <v>18</v>
      </c>
      <c r="H29" s="37"/>
      <c r="I29" s="37"/>
      <c r="J29" s="48"/>
      <c r="K29" s="48">
        <v>14.75</v>
      </c>
      <c r="L29" s="48"/>
      <c r="M29" s="48"/>
      <c r="N29" s="48"/>
      <c r="O29" s="47">
        <f t="shared" si="0"/>
        <v>14.75</v>
      </c>
      <c r="P29" s="48"/>
      <c r="Q29" s="48"/>
      <c r="R29" s="26">
        <f>SUM(O29:Q29)</f>
        <v>14.75</v>
      </c>
      <c r="S29" s="9"/>
    </row>
    <row r="30" spans="1:19" s="87" customFormat="1" ht="12" x14ac:dyDescent="0.2">
      <c r="A30" s="7" t="s">
        <v>27</v>
      </c>
      <c r="B30" s="8" t="s">
        <v>174</v>
      </c>
      <c r="C30" s="18" t="s">
        <v>54</v>
      </c>
      <c r="D30" s="20"/>
      <c r="E30" s="55">
        <v>42160</v>
      </c>
      <c r="F30" s="55">
        <v>42160</v>
      </c>
      <c r="G30" s="13" t="s">
        <v>18</v>
      </c>
      <c r="H30" s="7"/>
      <c r="I30" s="7"/>
      <c r="J30" s="46"/>
      <c r="K30" s="46">
        <v>16.25</v>
      </c>
      <c r="L30" s="46"/>
      <c r="M30" s="46"/>
      <c r="N30" s="46"/>
      <c r="O30" s="47">
        <f t="shared" si="0"/>
        <v>16.25</v>
      </c>
      <c r="P30" s="46"/>
      <c r="Q30" s="46"/>
      <c r="R30" s="47">
        <f>SUM(O30:P30:Q30)</f>
        <v>16.25</v>
      </c>
      <c r="S30" s="9"/>
    </row>
    <row r="31" spans="1:19" s="91" customFormat="1" ht="12" x14ac:dyDescent="0.2">
      <c r="A31" s="7" t="s">
        <v>27</v>
      </c>
      <c r="B31" s="8" t="s">
        <v>174</v>
      </c>
      <c r="C31" s="8" t="s">
        <v>55</v>
      </c>
      <c r="D31" s="18"/>
      <c r="E31" s="55">
        <v>42165</v>
      </c>
      <c r="F31" s="55">
        <v>42165</v>
      </c>
      <c r="G31" s="57" t="s">
        <v>18</v>
      </c>
      <c r="H31" s="37"/>
      <c r="I31" s="37"/>
      <c r="J31" s="48"/>
      <c r="K31" s="48">
        <v>27.75</v>
      </c>
      <c r="L31" s="48"/>
      <c r="M31" s="48"/>
      <c r="N31" s="48"/>
      <c r="O31" s="47">
        <f t="shared" si="0"/>
        <v>27.75</v>
      </c>
      <c r="P31" s="48"/>
      <c r="Q31" s="48"/>
      <c r="R31" s="26">
        <f t="shared" ref="R31:R55" si="3">SUM(O31:Q31)</f>
        <v>27.75</v>
      </c>
      <c r="S31" s="9"/>
    </row>
    <row r="32" spans="1:19" s="91" customFormat="1" ht="12" x14ac:dyDescent="0.2">
      <c r="A32" s="10" t="s">
        <v>173</v>
      </c>
      <c r="B32" s="10" t="s">
        <v>25</v>
      </c>
      <c r="C32" s="11" t="s">
        <v>192</v>
      </c>
      <c r="D32" s="20"/>
      <c r="E32" s="55">
        <v>42200</v>
      </c>
      <c r="F32" s="55">
        <v>42200</v>
      </c>
      <c r="G32" s="10" t="s">
        <v>18</v>
      </c>
      <c r="H32" s="27"/>
      <c r="I32" s="27"/>
      <c r="J32" s="27"/>
      <c r="K32" s="28">
        <v>30.1</v>
      </c>
      <c r="L32" s="27"/>
      <c r="M32" s="27"/>
      <c r="N32" s="27"/>
      <c r="O32" s="26">
        <f t="shared" si="0"/>
        <v>30.1</v>
      </c>
      <c r="P32" s="27"/>
      <c r="Q32" s="27"/>
      <c r="R32" s="26">
        <f t="shared" si="3"/>
        <v>30.1</v>
      </c>
      <c r="S32" s="12"/>
    </row>
    <row r="33" spans="1:19" s="87" customFormat="1" ht="24" x14ac:dyDescent="0.2">
      <c r="A33" s="7" t="s">
        <v>33</v>
      </c>
      <c r="B33" s="14" t="s">
        <v>34</v>
      </c>
      <c r="C33" s="11" t="s">
        <v>178</v>
      </c>
      <c r="D33" s="13" t="s">
        <v>127</v>
      </c>
      <c r="E33" s="55">
        <v>42165</v>
      </c>
      <c r="F33" s="55">
        <v>42165</v>
      </c>
      <c r="G33" s="13" t="s">
        <v>144</v>
      </c>
      <c r="H33" s="34"/>
      <c r="I33" s="34"/>
      <c r="J33" s="35"/>
      <c r="K33" s="35">
        <v>100.6</v>
      </c>
      <c r="L33" s="35"/>
      <c r="M33" s="35"/>
      <c r="N33" s="35"/>
      <c r="O33" s="47">
        <f t="shared" si="0"/>
        <v>100.6</v>
      </c>
      <c r="P33" s="35"/>
      <c r="Q33" s="35"/>
      <c r="R33" s="47">
        <f t="shared" si="3"/>
        <v>100.6</v>
      </c>
      <c r="S33" s="9"/>
    </row>
    <row r="34" spans="1:19" s="87" customFormat="1" ht="12" x14ac:dyDescent="0.2">
      <c r="A34" s="7" t="s">
        <v>33</v>
      </c>
      <c r="B34" s="14" t="s">
        <v>34</v>
      </c>
      <c r="C34" s="11" t="s">
        <v>169</v>
      </c>
      <c r="D34" s="13" t="s">
        <v>132</v>
      </c>
      <c r="E34" s="55">
        <v>42177</v>
      </c>
      <c r="F34" s="55">
        <v>42177</v>
      </c>
      <c r="G34" s="13" t="s">
        <v>47</v>
      </c>
      <c r="H34" s="34"/>
      <c r="I34" s="34"/>
      <c r="J34" s="35"/>
      <c r="K34" s="35">
        <v>108.27</v>
      </c>
      <c r="L34" s="35"/>
      <c r="M34" s="35"/>
      <c r="N34" s="35"/>
      <c r="O34" s="47">
        <f t="shared" si="0"/>
        <v>108.27</v>
      </c>
      <c r="P34" s="35"/>
      <c r="Q34" s="35"/>
      <c r="R34" s="47">
        <f t="shared" si="3"/>
        <v>108.27</v>
      </c>
      <c r="S34" s="9"/>
    </row>
    <row r="35" spans="1:19" s="89" customFormat="1" ht="34.5" customHeight="1" x14ac:dyDescent="0.2">
      <c r="A35" s="37" t="s">
        <v>2</v>
      </c>
      <c r="B35" s="18" t="s">
        <v>19</v>
      </c>
      <c r="C35" s="11" t="s">
        <v>169</v>
      </c>
      <c r="D35" s="18" t="s">
        <v>132</v>
      </c>
      <c r="E35" s="58">
        <v>42182</v>
      </c>
      <c r="F35" s="58">
        <v>42182</v>
      </c>
      <c r="G35" s="57" t="s">
        <v>118</v>
      </c>
      <c r="H35" s="37"/>
      <c r="I35" s="37"/>
      <c r="J35" s="48"/>
      <c r="K35" s="54">
        <v>28</v>
      </c>
      <c r="L35" s="48"/>
      <c r="M35" s="48"/>
      <c r="N35" s="48"/>
      <c r="O35" s="47">
        <f t="shared" si="0"/>
        <v>28</v>
      </c>
      <c r="P35" s="48"/>
      <c r="Q35" s="48"/>
      <c r="R35" s="47">
        <f t="shared" si="3"/>
        <v>28</v>
      </c>
      <c r="S35" s="101"/>
    </row>
    <row r="36" spans="1:19" s="49" customFormat="1" ht="12" x14ac:dyDescent="0.2">
      <c r="A36" s="95" t="s">
        <v>2</v>
      </c>
      <c r="B36" s="60" t="s">
        <v>19</v>
      </c>
      <c r="C36" s="60" t="s">
        <v>170</v>
      </c>
      <c r="D36" s="96"/>
      <c r="E36" s="97">
        <v>42200</v>
      </c>
      <c r="F36" s="97">
        <v>42201</v>
      </c>
      <c r="G36" s="60" t="s">
        <v>99</v>
      </c>
      <c r="H36" s="95"/>
      <c r="I36" s="98"/>
      <c r="J36" s="99">
        <v>551.25</v>
      </c>
      <c r="K36" s="100"/>
      <c r="L36" s="99">
        <v>200</v>
      </c>
      <c r="M36" s="99">
        <f>2.14+9.79</f>
        <v>11.93</v>
      </c>
      <c r="N36" s="99"/>
      <c r="O36" s="47">
        <f t="shared" si="0"/>
        <v>763.18</v>
      </c>
      <c r="P36" s="99"/>
      <c r="Q36" s="99"/>
      <c r="R36" s="47">
        <f t="shared" si="3"/>
        <v>763.18</v>
      </c>
    </row>
    <row r="37" spans="1:19" s="9" customFormat="1" ht="12" x14ac:dyDescent="0.2">
      <c r="A37" s="37" t="s">
        <v>2</v>
      </c>
      <c r="B37" s="18" t="s">
        <v>19</v>
      </c>
      <c r="C37" s="18" t="s">
        <v>170</v>
      </c>
      <c r="D37" s="73"/>
      <c r="E37" s="58">
        <v>42213</v>
      </c>
      <c r="F37" s="58">
        <v>42214</v>
      </c>
      <c r="G37" s="18" t="s">
        <v>118</v>
      </c>
      <c r="H37" s="37"/>
      <c r="I37" s="76"/>
      <c r="J37" s="54">
        <f>232.12+208.12</f>
        <v>440.24</v>
      </c>
      <c r="K37" s="48">
        <v>82.5</v>
      </c>
      <c r="L37" s="48">
        <v>109</v>
      </c>
      <c r="M37" s="48">
        <f>6.46+9.79+9.95</f>
        <v>26.2</v>
      </c>
      <c r="N37" s="48"/>
      <c r="O37" s="47">
        <f>SUM(K37:N37)</f>
        <v>217.7</v>
      </c>
      <c r="P37" s="48"/>
      <c r="Q37" s="48"/>
      <c r="R37" s="47">
        <f t="shared" si="3"/>
        <v>217.7</v>
      </c>
      <c r="S37" s="49"/>
    </row>
    <row r="38" spans="1:19" s="9" customFormat="1" ht="24" x14ac:dyDescent="0.2">
      <c r="A38" s="37" t="s">
        <v>133</v>
      </c>
      <c r="B38" s="18" t="s">
        <v>177</v>
      </c>
      <c r="C38" s="11" t="s">
        <v>107</v>
      </c>
      <c r="D38" s="18" t="s">
        <v>165</v>
      </c>
      <c r="E38" s="58">
        <v>42159</v>
      </c>
      <c r="F38" s="58">
        <v>42159</v>
      </c>
      <c r="G38" s="57" t="s">
        <v>18</v>
      </c>
      <c r="H38" s="37"/>
      <c r="I38" s="37"/>
      <c r="J38" s="48"/>
      <c r="K38" s="54">
        <v>21.25</v>
      </c>
      <c r="L38" s="48"/>
      <c r="M38" s="48"/>
      <c r="N38" s="48"/>
      <c r="O38" s="47">
        <f t="shared" ref="O38:O52" si="4">SUM(J38:N38)</f>
        <v>21.25</v>
      </c>
      <c r="P38" s="48"/>
      <c r="Q38" s="48"/>
      <c r="R38" s="47">
        <f t="shared" si="3"/>
        <v>21.25</v>
      </c>
      <c r="S38" s="49"/>
    </row>
    <row r="39" spans="1:19" s="9" customFormat="1" ht="24" x14ac:dyDescent="0.2">
      <c r="A39" s="37" t="s">
        <v>133</v>
      </c>
      <c r="B39" s="18" t="s">
        <v>177</v>
      </c>
      <c r="C39" s="11" t="s">
        <v>186</v>
      </c>
      <c r="D39" s="18" t="s">
        <v>176</v>
      </c>
      <c r="E39" s="58">
        <v>42162</v>
      </c>
      <c r="F39" s="58">
        <v>42163</v>
      </c>
      <c r="G39" s="57" t="s">
        <v>135</v>
      </c>
      <c r="H39" s="37"/>
      <c r="I39" s="37"/>
      <c r="J39" s="48"/>
      <c r="K39" s="54">
        <v>235.15</v>
      </c>
      <c r="L39" s="48"/>
      <c r="M39" s="48">
        <v>4.58</v>
      </c>
      <c r="N39" s="48"/>
      <c r="O39" s="47">
        <f t="shared" si="4"/>
        <v>239.73000000000002</v>
      </c>
      <c r="P39" s="48"/>
      <c r="Q39" s="48"/>
      <c r="R39" s="47">
        <f t="shared" si="3"/>
        <v>239.73000000000002</v>
      </c>
      <c r="S39" s="49"/>
    </row>
    <row r="40" spans="1:19" s="92" customFormat="1" ht="17.100000000000001" customHeight="1" x14ac:dyDescent="0.2">
      <c r="A40" s="10" t="s">
        <v>102</v>
      </c>
      <c r="B40" s="10" t="s">
        <v>25</v>
      </c>
      <c r="C40" s="11" t="s">
        <v>192</v>
      </c>
      <c r="D40" s="20"/>
      <c r="E40" s="55">
        <v>42155</v>
      </c>
      <c r="F40" s="55">
        <v>42156</v>
      </c>
      <c r="G40" s="10" t="s">
        <v>18</v>
      </c>
      <c r="H40" s="27"/>
      <c r="I40" s="27"/>
      <c r="J40" s="27"/>
      <c r="K40" s="28">
        <v>407.8</v>
      </c>
      <c r="L40" s="27"/>
      <c r="M40" s="27"/>
      <c r="N40" s="27"/>
      <c r="O40" s="26">
        <f t="shared" si="4"/>
        <v>407.8</v>
      </c>
      <c r="P40" s="27"/>
      <c r="Q40" s="27"/>
      <c r="R40" s="26">
        <f t="shared" si="3"/>
        <v>407.8</v>
      </c>
      <c r="S40" s="12"/>
    </row>
    <row r="41" spans="1:19" s="12" customFormat="1" ht="12" x14ac:dyDescent="0.2">
      <c r="A41" s="10" t="s">
        <v>102</v>
      </c>
      <c r="B41" s="10" t="s">
        <v>25</v>
      </c>
      <c r="C41" s="11" t="s">
        <v>55</v>
      </c>
      <c r="D41" s="20"/>
      <c r="E41" s="55">
        <v>42165</v>
      </c>
      <c r="F41" s="55">
        <v>42167</v>
      </c>
      <c r="G41" s="10" t="s">
        <v>18</v>
      </c>
      <c r="H41" s="27"/>
      <c r="I41" s="27"/>
      <c r="J41" s="27">
        <v>475.14</v>
      </c>
      <c r="K41" s="28">
        <v>72.819999999999993</v>
      </c>
      <c r="L41" s="27"/>
      <c r="M41" s="27"/>
      <c r="N41" s="27"/>
      <c r="O41" s="26">
        <f t="shared" si="4"/>
        <v>547.96</v>
      </c>
      <c r="P41" s="27"/>
      <c r="Q41" s="27"/>
      <c r="R41" s="26">
        <f t="shared" si="3"/>
        <v>547.96</v>
      </c>
      <c r="S41" s="87"/>
    </row>
    <row r="42" spans="1:19" s="12" customFormat="1" ht="12" x14ac:dyDescent="0.2">
      <c r="A42" s="10" t="s">
        <v>148</v>
      </c>
      <c r="B42" s="10" t="s">
        <v>25</v>
      </c>
      <c r="C42" s="11" t="s">
        <v>55</v>
      </c>
      <c r="D42" s="20"/>
      <c r="E42" s="55">
        <v>42165</v>
      </c>
      <c r="F42" s="55">
        <v>42165</v>
      </c>
      <c r="G42" s="10" t="s">
        <v>18</v>
      </c>
      <c r="H42" s="27"/>
      <c r="I42" s="27"/>
      <c r="J42" s="27"/>
      <c r="K42" s="28">
        <v>21.25</v>
      </c>
      <c r="L42" s="27"/>
      <c r="M42" s="27"/>
      <c r="N42" s="27"/>
      <c r="O42" s="26">
        <f t="shared" si="4"/>
        <v>21.25</v>
      </c>
      <c r="P42" s="27"/>
      <c r="Q42" s="27"/>
      <c r="R42" s="26">
        <f t="shared" si="3"/>
        <v>21.25</v>
      </c>
      <c r="S42" s="87"/>
    </row>
    <row r="43" spans="1:19" s="12" customFormat="1" ht="29.25" customHeight="1" x14ac:dyDescent="0.2">
      <c r="A43" s="10" t="s">
        <v>38</v>
      </c>
      <c r="B43" s="13" t="s">
        <v>168</v>
      </c>
      <c r="C43" s="8" t="s">
        <v>193</v>
      </c>
      <c r="D43" s="13" t="s">
        <v>154</v>
      </c>
      <c r="E43" s="55">
        <v>42115</v>
      </c>
      <c r="F43" s="55">
        <v>42115</v>
      </c>
      <c r="G43" s="79" t="s">
        <v>18</v>
      </c>
      <c r="H43" s="27"/>
      <c r="I43" s="27"/>
      <c r="J43" s="28"/>
      <c r="K43" s="28">
        <v>8</v>
      </c>
      <c r="L43" s="28"/>
      <c r="M43" s="28"/>
      <c r="N43" s="28"/>
      <c r="O43" s="26">
        <f t="shared" si="4"/>
        <v>8</v>
      </c>
      <c r="P43" s="28"/>
      <c r="Q43" s="28"/>
      <c r="R43" s="26">
        <f t="shared" si="3"/>
        <v>8</v>
      </c>
      <c r="S43" s="87"/>
    </row>
    <row r="44" spans="1:19" s="12" customFormat="1" ht="24" x14ac:dyDescent="0.2">
      <c r="A44" s="10" t="s">
        <v>38</v>
      </c>
      <c r="B44" s="13" t="s">
        <v>168</v>
      </c>
      <c r="C44" s="11" t="s">
        <v>178</v>
      </c>
      <c r="D44" s="13" t="s">
        <v>127</v>
      </c>
      <c r="E44" s="55">
        <v>42144</v>
      </c>
      <c r="F44" s="55">
        <v>42144</v>
      </c>
      <c r="G44" s="13" t="s">
        <v>129</v>
      </c>
      <c r="H44" s="27"/>
      <c r="I44" s="27"/>
      <c r="J44" s="28"/>
      <c r="K44" s="28">
        <v>62.4</v>
      </c>
      <c r="L44" s="28"/>
      <c r="M44" s="28"/>
      <c r="N44" s="28"/>
      <c r="O44" s="26">
        <f t="shared" si="4"/>
        <v>62.4</v>
      </c>
      <c r="P44" s="28"/>
      <c r="Q44" s="28"/>
      <c r="R44" s="26">
        <f t="shared" si="3"/>
        <v>62.4</v>
      </c>
      <c r="S44" s="87"/>
    </row>
    <row r="45" spans="1:19" s="12" customFormat="1" ht="12" x14ac:dyDescent="0.2">
      <c r="A45" s="10" t="s">
        <v>38</v>
      </c>
      <c r="B45" s="13" t="s">
        <v>168</v>
      </c>
      <c r="C45" s="11" t="s">
        <v>130</v>
      </c>
      <c r="D45" s="13" t="s">
        <v>156</v>
      </c>
      <c r="E45" s="55">
        <v>42145</v>
      </c>
      <c r="F45" s="55">
        <v>42145</v>
      </c>
      <c r="G45" s="13" t="s">
        <v>18</v>
      </c>
      <c r="H45" s="27"/>
      <c r="I45" s="27"/>
      <c r="J45" s="28"/>
      <c r="K45" s="28">
        <v>10</v>
      </c>
      <c r="L45" s="28"/>
      <c r="M45" s="28"/>
      <c r="N45" s="28"/>
      <c r="O45" s="26">
        <f t="shared" si="4"/>
        <v>10</v>
      </c>
      <c r="P45" s="28"/>
      <c r="Q45" s="28"/>
      <c r="R45" s="26">
        <f t="shared" si="3"/>
        <v>10</v>
      </c>
      <c r="S45" s="87"/>
    </row>
    <row r="46" spans="1:19" s="9" customFormat="1" ht="24" x14ac:dyDescent="0.2">
      <c r="A46" s="10" t="s">
        <v>38</v>
      </c>
      <c r="B46" s="13" t="s">
        <v>168</v>
      </c>
      <c r="C46" s="11" t="s">
        <v>178</v>
      </c>
      <c r="D46" s="13" t="s">
        <v>127</v>
      </c>
      <c r="E46" s="55">
        <v>42152</v>
      </c>
      <c r="F46" s="55">
        <v>42152</v>
      </c>
      <c r="G46" s="13" t="s">
        <v>166</v>
      </c>
      <c r="H46" s="27"/>
      <c r="I46" s="27"/>
      <c r="J46" s="28"/>
      <c r="K46" s="28">
        <v>90.4</v>
      </c>
      <c r="L46" s="28"/>
      <c r="M46" s="28"/>
      <c r="N46" s="28"/>
      <c r="O46" s="26">
        <f t="shared" si="4"/>
        <v>90.4</v>
      </c>
      <c r="P46" s="28"/>
      <c r="Q46" s="28"/>
      <c r="R46" s="26">
        <f t="shared" si="3"/>
        <v>90.4</v>
      </c>
      <c r="S46" s="87"/>
    </row>
    <row r="47" spans="1:19" s="12" customFormat="1" ht="24" x14ac:dyDescent="0.2">
      <c r="A47" s="10" t="s">
        <v>38</v>
      </c>
      <c r="B47" s="13" t="s">
        <v>168</v>
      </c>
      <c r="C47" s="8" t="s">
        <v>193</v>
      </c>
      <c r="D47" s="13" t="s">
        <v>154</v>
      </c>
      <c r="E47" s="55">
        <v>42153</v>
      </c>
      <c r="F47" s="55">
        <v>42153</v>
      </c>
      <c r="G47" s="13" t="s">
        <v>18</v>
      </c>
      <c r="H47" s="27"/>
      <c r="I47" s="27"/>
      <c r="J47" s="28"/>
      <c r="K47" s="28">
        <v>12</v>
      </c>
      <c r="L47" s="28"/>
      <c r="M47" s="28"/>
      <c r="N47" s="28"/>
      <c r="O47" s="26">
        <f t="shared" si="4"/>
        <v>12</v>
      </c>
      <c r="P47" s="28"/>
      <c r="Q47" s="28"/>
      <c r="R47" s="26">
        <f t="shared" si="3"/>
        <v>12</v>
      </c>
      <c r="S47" s="87"/>
    </row>
    <row r="48" spans="1:19" s="9" customFormat="1" ht="12" x14ac:dyDescent="0.2">
      <c r="A48" s="10" t="s">
        <v>38</v>
      </c>
      <c r="B48" s="13" t="s">
        <v>168</v>
      </c>
      <c r="C48" s="8" t="s">
        <v>190</v>
      </c>
      <c r="D48" s="13" t="s">
        <v>198</v>
      </c>
      <c r="E48" s="55">
        <v>42160</v>
      </c>
      <c r="F48" s="55">
        <v>42160</v>
      </c>
      <c r="G48" s="13" t="s">
        <v>18</v>
      </c>
      <c r="H48" s="27"/>
      <c r="I48" s="27"/>
      <c r="J48" s="28"/>
      <c r="K48" s="28">
        <v>10</v>
      </c>
      <c r="L48" s="28"/>
      <c r="M48" s="28"/>
      <c r="N48" s="28"/>
      <c r="O48" s="26">
        <f t="shared" si="4"/>
        <v>10</v>
      </c>
      <c r="P48" s="28"/>
      <c r="Q48" s="28"/>
      <c r="R48" s="26">
        <f t="shared" si="3"/>
        <v>10</v>
      </c>
      <c r="S48" s="12"/>
    </row>
    <row r="49" spans="1:19" s="9" customFormat="1" ht="24" x14ac:dyDescent="0.2">
      <c r="A49" s="10" t="s">
        <v>38</v>
      </c>
      <c r="B49" s="13" t="s">
        <v>168</v>
      </c>
      <c r="C49" s="11" t="s">
        <v>178</v>
      </c>
      <c r="D49" s="13" t="s">
        <v>127</v>
      </c>
      <c r="E49" s="55">
        <v>42167</v>
      </c>
      <c r="F49" s="55">
        <v>42167</v>
      </c>
      <c r="G49" s="13" t="s">
        <v>149</v>
      </c>
      <c r="H49" s="27"/>
      <c r="I49" s="27"/>
      <c r="J49" s="28"/>
      <c r="K49" s="28">
        <v>192</v>
      </c>
      <c r="L49" s="28"/>
      <c r="M49" s="28"/>
      <c r="N49" s="28"/>
      <c r="O49" s="26">
        <f t="shared" si="4"/>
        <v>192</v>
      </c>
      <c r="P49" s="28"/>
      <c r="Q49" s="28"/>
      <c r="R49" s="26">
        <f t="shared" si="3"/>
        <v>192</v>
      </c>
      <c r="S49" s="87"/>
    </row>
    <row r="50" spans="1:19" s="9" customFormat="1" ht="12" x14ac:dyDescent="0.2">
      <c r="A50" s="10" t="s">
        <v>38</v>
      </c>
      <c r="B50" s="13" t="s">
        <v>168</v>
      </c>
      <c r="C50" s="11" t="s">
        <v>169</v>
      </c>
      <c r="D50" s="13" t="s">
        <v>132</v>
      </c>
      <c r="E50" s="55">
        <v>42174</v>
      </c>
      <c r="F50" s="55">
        <v>42174</v>
      </c>
      <c r="G50" s="13" t="s">
        <v>150</v>
      </c>
      <c r="H50" s="27"/>
      <c r="I50" s="27"/>
      <c r="J50" s="28"/>
      <c r="K50" s="28">
        <v>128</v>
      </c>
      <c r="L50" s="28"/>
      <c r="M50" s="28"/>
      <c r="N50" s="28"/>
      <c r="O50" s="26">
        <f t="shared" si="4"/>
        <v>128</v>
      </c>
      <c r="P50" s="28"/>
      <c r="Q50" s="28"/>
      <c r="R50" s="26">
        <f t="shared" si="3"/>
        <v>128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169</v>
      </c>
      <c r="D51" s="13" t="s">
        <v>132</v>
      </c>
      <c r="E51" s="55">
        <v>42177</v>
      </c>
      <c r="F51" s="55">
        <v>42177</v>
      </c>
      <c r="G51" s="13" t="s">
        <v>129</v>
      </c>
      <c r="H51" s="27"/>
      <c r="I51" s="27"/>
      <c r="J51" s="28"/>
      <c r="K51" s="28">
        <v>62.4</v>
      </c>
      <c r="L51" s="28"/>
      <c r="M51" s="28"/>
      <c r="N51" s="28"/>
      <c r="O51" s="26">
        <f t="shared" si="4"/>
        <v>62.4</v>
      </c>
      <c r="P51" s="28"/>
      <c r="Q51" s="28"/>
      <c r="R51" s="26">
        <f t="shared" si="3"/>
        <v>62.4</v>
      </c>
      <c r="S51" s="87"/>
    </row>
    <row r="52" spans="1:19" s="9" customFormat="1" ht="12" x14ac:dyDescent="0.2">
      <c r="A52" s="10" t="s">
        <v>38</v>
      </c>
      <c r="B52" s="13" t="s">
        <v>168</v>
      </c>
      <c r="C52" s="11" t="s">
        <v>169</v>
      </c>
      <c r="D52" s="13" t="s">
        <v>132</v>
      </c>
      <c r="E52" s="55">
        <v>42178</v>
      </c>
      <c r="F52" s="55">
        <v>42179</v>
      </c>
      <c r="G52" s="13" t="s">
        <v>128</v>
      </c>
      <c r="H52" s="27"/>
      <c r="I52" s="27"/>
      <c r="J52" s="28"/>
      <c r="K52" s="28">
        <v>150</v>
      </c>
      <c r="L52" s="28">
        <v>129</v>
      </c>
      <c r="M52" s="28"/>
      <c r="N52" s="28"/>
      <c r="O52" s="26">
        <f t="shared" si="4"/>
        <v>279</v>
      </c>
      <c r="P52" s="28"/>
      <c r="Q52" s="28"/>
      <c r="R52" s="26">
        <f t="shared" si="3"/>
        <v>279</v>
      </c>
      <c r="S52" s="12"/>
    </row>
    <row r="53" spans="1:19" s="12" customFormat="1" ht="12" x14ac:dyDescent="0.2">
      <c r="A53" s="10" t="s">
        <v>38</v>
      </c>
      <c r="B53" s="13" t="s">
        <v>168</v>
      </c>
      <c r="C53" s="8" t="s">
        <v>107</v>
      </c>
      <c r="D53" s="13" t="s">
        <v>199</v>
      </c>
      <c r="E53" s="55">
        <v>42195</v>
      </c>
      <c r="F53" s="55">
        <v>42195</v>
      </c>
      <c r="G53" s="13" t="s">
        <v>200</v>
      </c>
      <c r="H53" s="27"/>
      <c r="I53" s="74"/>
      <c r="J53" s="28"/>
      <c r="K53" s="28">
        <v>10</v>
      </c>
      <c r="L53" s="28"/>
      <c r="M53" s="28"/>
      <c r="N53" s="28"/>
      <c r="O53" s="47">
        <f>SUM(K53:N53)</f>
        <v>10</v>
      </c>
      <c r="P53" s="28"/>
      <c r="Q53" s="28"/>
      <c r="R53" s="47">
        <f t="shared" si="3"/>
        <v>10</v>
      </c>
      <c r="S53" s="9"/>
    </row>
    <row r="54" spans="1:19" s="12" customFormat="1" ht="12" x14ac:dyDescent="0.2">
      <c r="A54" s="10" t="s">
        <v>38</v>
      </c>
      <c r="B54" s="13" t="s">
        <v>168</v>
      </c>
      <c r="C54" s="11" t="s">
        <v>169</v>
      </c>
      <c r="D54" s="13" t="s">
        <v>132</v>
      </c>
      <c r="E54" s="55">
        <v>42199</v>
      </c>
      <c r="F54" s="55">
        <v>42200</v>
      </c>
      <c r="G54" s="13" t="s">
        <v>151</v>
      </c>
      <c r="H54" s="27"/>
      <c r="I54" s="74"/>
      <c r="J54" s="28">
        <v>675.88</v>
      </c>
      <c r="K54" s="28">
        <f>65+79.17+17.02</f>
        <v>161.19000000000003</v>
      </c>
      <c r="L54" s="28">
        <v>99</v>
      </c>
      <c r="M54" s="28"/>
      <c r="N54" s="28"/>
      <c r="O54" s="26">
        <f>SUM(J54:N54)</f>
        <v>936.07</v>
      </c>
      <c r="P54" s="28"/>
      <c r="Q54" s="28"/>
      <c r="R54" s="26">
        <f t="shared" si="3"/>
        <v>936.07</v>
      </c>
      <c r="S54" s="9"/>
    </row>
    <row r="55" spans="1:19" s="12" customFormat="1" ht="12" x14ac:dyDescent="0.2">
      <c r="A55" s="10" t="s">
        <v>38</v>
      </c>
      <c r="B55" s="13" t="s">
        <v>167</v>
      </c>
      <c r="C55" s="11" t="s">
        <v>130</v>
      </c>
      <c r="D55" s="11"/>
      <c r="E55" s="55">
        <v>42217</v>
      </c>
      <c r="F55" s="55">
        <v>42217</v>
      </c>
      <c r="G55" s="18" t="s">
        <v>160</v>
      </c>
      <c r="H55" s="27"/>
      <c r="I55" s="74"/>
      <c r="J55" s="28"/>
      <c r="K55" s="28">
        <v>140</v>
      </c>
      <c r="L55" s="28"/>
      <c r="M55" s="28"/>
      <c r="N55" s="28"/>
      <c r="O55" s="26">
        <f>SUM(J55:N55)</f>
        <v>140</v>
      </c>
      <c r="P55" s="28"/>
      <c r="Q55" s="28"/>
      <c r="R55" s="26">
        <f t="shared" si="3"/>
        <v>140</v>
      </c>
    </row>
  </sheetData>
  <sortState xmlns:xlrd2="http://schemas.microsoft.com/office/spreadsheetml/2017/richdata2"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7"/>
  <sheetViews>
    <sheetView topLeftCell="A49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2.625" bestFit="1" customWidth="1"/>
    <col min="3" max="3" width="30.375" bestFit="1" customWidth="1"/>
    <col min="4" max="4" width="45.75" customWidth="1"/>
    <col min="5" max="5" width="11.75" bestFit="1" customWidth="1"/>
    <col min="6" max="6" width="11.125" bestFit="1" customWidth="1"/>
    <col min="7" max="7" width="11" bestFit="1" customWidth="1"/>
    <col min="11" max="11" width="10.875" customWidth="1"/>
    <col min="12" max="12" width="11.375" customWidth="1"/>
  </cols>
  <sheetData>
    <row r="1" spans="1:19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.1" customHeight="1" x14ac:dyDescent="0.2">
      <c r="A2" s="7" t="s">
        <v>30</v>
      </c>
      <c r="B2" s="8" t="s">
        <v>25</v>
      </c>
      <c r="C2" s="11" t="s">
        <v>55</v>
      </c>
      <c r="D2" s="20"/>
      <c r="E2" s="55">
        <v>42277</v>
      </c>
      <c r="F2" s="55">
        <v>42278</v>
      </c>
      <c r="G2" s="10" t="s">
        <v>22</v>
      </c>
      <c r="H2" s="27"/>
      <c r="I2" s="74"/>
      <c r="J2" s="27"/>
      <c r="K2" s="104">
        <v>83.2</v>
      </c>
      <c r="L2" s="110"/>
      <c r="M2" s="27"/>
      <c r="N2" s="27"/>
      <c r="O2" s="26">
        <f t="shared" ref="O2:O28" si="0">SUM(J2:N2)</f>
        <v>83.2</v>
      </c>
      <c r="P2" s="27"/>
      <c r="Q2" s="27"/>
      <c r="R2" s="26">
        <f>SUM(O2:Q2)</f>
        <v>83.2</v>
      </c>
    </row>
    <row r="3" spans="1:19" s="12" customFormat="1" ht="12" x14ac:dyDescent="0.2">
      <c r="A3" s="7" t="s">
        <v>30</v>
      </c>
      <c r="B3" s="8" t="s">
        <v>25</v>
      </c>
      <c r="C3" s="11" t="s">
        <v>192</v>
      </c>
      <c r="D3" s="20" t="s">
        <v>265</v>
      </c>
      <c r="E3" s="55">
        <v>42326</v>
      </c>
      <c r="F3" s="55">
        <v>42327</v>
      </c>
      <c r="G3" s="13" t="s">
        <v>18</v>
      </c>
      <c r="H3" s="7"/>
      <c r="I3" s="7"/>
      <c r="J3" s="46"/>
      <c r="K3" s="109">
        <f>35+83.2</f>
        <v>118.2</v>
      </c>
      <c r="L3" s="109">
        <v>183.76</v>
      </c>
      <c r="M3" s="46"/>
      <c r="N3" s="46"/>
      <c r="O3" s="47">
        <f t="shared" si="0"/>
        <v>301.95999999999998</v>
      </c>
      <c r="P3" s="46"/>
      <c r="Q3" s="46"/>
      <c r="R3" s="47">
        <f>SUM(O3:P3:Q3)</f>
        <v>301.95999999999998</v>
      </c>
      <c r="S3" s="9"/>
    </row>
    <row r="4" spans="1:19" s="9" customFormat="1" ht="12" x14ac:dyDescent="0.2">
      <c r="A4" s="7" t="s">
        <v>30</v>
      </c>
      <c r="B4" s="8" t="s">
        <v>25</v>
      </c>
      <c r="C4" s="11" t="s">
        <v>192</v>
      </c>
      <c r="D4" s="8" t="s">
        <v>264</v>
      </c>
      <c r="E4" s="55">
        <v>42320</v>
      </c>
      <c r="F4" s="55">
        <v>42321</v>
      </c>
      <c r="G4" s="13" t="s">
        <v>18</v>
      </c>
      <c r="H4" s="7"/>
      <c r="I4" s="7"/>
      <c r="J4" s="46"/>
      <c r="K4" s="109">
        <f>35+83.2</f>
        <v>118.2</v>
      </c>
      <c r="L4" s="109">
        <v>194.03</v>
      </c>
      <c r="M4" s="46"/>
      <c r="N4" s="46"/>
      <c r="O4" s="47">
        <f t="shared" si="0"/>
        <v>312.23</v>
      </c>
      <c r="P4" s="46"/>
      <c r="Q4" s="46"/>
      <c r="R4" s="47">
        <f>SUM(O4:P4:Q4)</f>
        <v>312.23</v>
      </c>
    </row>
    <row r="5" spans="1:19" s="12" customFormat="1" ht="12" x14ac:dyDescent="0.2">
      <c r="A5" s="7" t="s">
        <v>30</v>
      </c>
      <c r="B5" s="8" t="s">
        <v>25</v>
      </c>
      <c r="C5" s="11" t="s">
        <v>55</v>
      </c>
      <c r="D5" s="20"/>
      <c r="E5" s="55">
        <v>42332</v>
      </c>
      <c r="F5" s="55">
        <v>42333</v>
      </c>
      <c r="G5" s="10" t="s">
        <v>18</v>
      </c>
      <c r="H5" s="27"/>
      <c r="I5" s="74"/>
      <c r="J5" s="27"/>
      <c r="K5" s="104">
        <f>133.6+29</f>
        <v>162.6</v>
      </c>
      <c r="L5" s="106">
        <v>132.41999999999999</v>
      </c>
      <c r="M5" s="27"/>
      <c r="N5" s="27"/>
      <c r="O5" s="26">
        <f t="shared" si="0"/>
        <v>295.02</v>
      </c>
      <c r="P5" s="27"/>
      <c r="Q5" s="27"/>
      <c r="R5" s="26">
        <f t="shared" ref="R5:R24" si="1">SUM(O5:Q5)</f>
        <v>295.02</v>
      </c>
    </row>
    <row r="6" spans="1:19" s="12" customFormat="1" ht="23.1" customHeight="1" x14ac:dyDescent="0.2">
      <c r="A6" s="10" t="s">
        <v>20</v>
      </c>
      <c r="B6" s="10" t="s">
        <v>21</v>
      </c>
      <c r="C6" s="11" t="s">
        <v>172</v>
      </c>
      <c r="D6" s="8" t="s">
        <v>219</v>
      </c>
      <c r="E6" s="55">
        <v>42212</v>
      </c>
      <c r="F6" s="55">
        <v>42212</v>
      </c>
      <c r="G6" s="10" t="s">
        <v>18</v>
      </c>
      <c r="H6" s="74" t="s">
        <v>220</v>
      </c>
      <c r="I6" s="102" t="s">
        <v>266</v>
      </c>
      <c r="J6" s="27"/>
      <c r="K6" s="104">
        <v>74.400000000000006</v>
      </c>
      <c r="L6" s="27"/>
      <c r="M6" s="106">
        <v>19.91</v>
      </c>
      <c r="N6" s="27"/>
      <c r="O6" s="26">
        <f t="shared" si="0"/>
        <v>94.31</v>
      </c>
      <c r="P6" s="27"/>
      <c r="Q6" s="27"/>
      <c r="R6" s="26">
        <f t="shared" si="1"/>
        <v>94.31</v>
      </c>
    </row>
    <row r="7" spans="1:19" s="9" customFormat="1" ht="23.1" customHeight="1" x14ac:dyDescent="0.2">
      <c r="A7" s="10" t="s">
        <v>20</v>
      </c>
      <c r="B7" s="10" t="s">
        <v>21</v>
      </c>
      <c r="C7" s="11" t="s">
        <v>107</v>
      </c>
      <c r="D7" s="8" t="s">
        <v>221</v>
      </c>
      <c r="E7" s="55">
        <v>42255</v>
      </c>
      <c r="F7" s="55">
        <v>42255</v>
      </c>
      <c r="G7" s="10" t="s">
        <v>18</v>
      </c>
      <c r="H7" s="74"/>
      <c r="I7" s="102"/>
      <c r="J7" s="27"/>
      <c r="K7" s="104">
        <v>15</v>
      </c>
      <c r="L7" s="27"/>
      <c r="M7" s="27"/>
      <c r="N7" s="27"/>
      <c r="O7" s="26">
        <f t="shared" si="0"/>
        <v>15</v>
      </c>
      <c r="P7" s="27"/>
      <c r="Q7" s="27"/>
      <c r="R7" s="26">
        <f t="shared" si="1"/>
        <v>15</v>
      </c>
      <c r="S7" s="12"/>
    </row>
    <row r="8" spans="1:19" s="9" customFormat="1" ht="23.1" customHeight="1" x14ac:dyDescent="0.2">
      <c r="A8" s="10" t="s">
        <v>20</v>
      </c>
      <c r="B8" s="10" t="s">
        <v>21</v>
      </c>
      <c r="C8" s="8" t="s">
        <v>261</v>
      </c>
      <c r="D8" s="8" t="s">
        <v>203</v>
      </c>
      <c r="E8" s="55">
        <v>42262</v>
      </c>
      <c r="F8" s="55">
        <v>42262</v>
      </c>
      <c r="G8" s="10" t="s">
        <v>18</v>
      </c>
      <c r="H8" s="27"/>
      <c r="I8" s="102">
        <v>1</v>
      </c>
      <c r="J8" s="27"/>
      <c r="K8" s="28"/>
      <c r="L8" s="27"/>
      <c r="M8" s="27"/>
      <c r="N8" s="27"/>
      <c r="O8" s="26">
        <f t="shared" si="0"/>
        <v>0</v>
      </c>
      <c r="P8" s="106">
        <v>70.8</v>
      </c>
      <c r="Q8" s="27"/>
      <c r="R8" s="26">
        <f t="shared" si="1"/>
        <v>70.8</v>
      </c>
      <c r="S8" s="12"/>
    </row>
    <row r="9" spans="1:19" s="9" customFormat="1" ht="23.1" customHeight="1" x14ac:dyDescent="0.2">
      <c r="A9" s="10" t="s">
        <v>20</v>
      </c>
      <c r="B9" s="10" t="s">
        <v>21</v>
      </c>
      <c r="C9" s="11" t="s">
        <v>240</v>
      </c>
      <c r="D9" s="8" t="s">
        <v>202</v>
      </c>
      <c r="E9" s="55">
        <v>42262</v>
      </c>
      <c r="F9" s="55">
        <v>42262</v>
      </c>
      <c r="G9" s="10" t="s">
        <v>18</v>
      </c>
      <c r="H9" s="27"/>
      <c r="I9" s="74"/>
      <c r="J9" s="27"/>
      <c r="K9" s="104">
        <v>27.75</v>
      </c>
      <c r="L9" s="27"/>
      <c r="M9" s="27"/>
      <c r="N9" s="27"/>
      <c r="O9" s="26">
        <f t="shared" si="0"/>
        <v>27.75</v>
      </c>
      <c r="P9" s="27"/>
      <c r="Q9" s="27"/>
      <c r="R9" s="26">
        <f t="shared" si="1"/>
        <v>27.75</v>
      </c>
      <c r="S9" s="12"/>
    </row>
    <row r="10" spans="1:19" s="9" customFormat="1" ht="23.1" customHeight="1" x14ac:dyDescent="0.2">
      <c r="A10" s="10" t="s">
        <v>20</v>
      </c>
      <c r="B10" s="10" t="s">
        <v>21</v>
      </c>
      <c r="C10" s="8" t="s">
        <v>107</v>
      </c>
      <c r="D10" s="8" t="s">
        <v>227</v>
      </c>
      <c r="E10" s="55">
        <v>42275</v>
      </c>
      <c r="F10" s="55">
        <v>42275</v>
      </c>
      <c r="G10" s="10" t="s">
        <v>18</v>
      </c>
      <c r="H10" s="74"/>
      <c r="I10" s="102"/>
      <c r="J10" s="27"/>
      <c r="K10" s="104">
        <v>9.75</v>
      </c>
      <c r="L10" s="27"/>
      <c r="M10" s="27"/>
      <c r="N10" s="27"/>
      <c r="O10" s="26">
        <f t="shared" si="0"/>
        <v>9.75</v>
      </c>
      <c r="P10" s="27"/>
      <c r="Q10" s="27"/>
      <c r="R10" s="26">
        <f t="shared" si="1"/>
        <v>9.75</v>
      </c>
      <c r="S10" s="12"/>
    </row>
    <row r="11" spans="1:19" s="9" customFormat="1" ht="12" x14ac:dyDescent="0.2">
      <c r="A11" s="10" t="s">
        <v>20</v>
      </c>
      <c r="B11" s="10" t="s">
        <v>21</v>
      </c>
      <c r="C11" s="11" t="s">
        <v>55</v>
      </c>
      <c r="D11" s="8"/>
      <c r="E11" s="58">
        <v>42277</v>
      </c>
      <c r="F11" s="58">
        <v>42278</v>
      </c>
      <c r="G11" s="57" t="s">
        <v>22</v>
      </c>
      <c r="H11" s="27"/>
      <c r="I11" s="74"/>
      <c r="J11" s="106"/>
      <c r="K11" s="104">
        <f>13.7+92</f>
        <v>105.7</v>
      </c>
      <c r="L11" s="106">
        <v>159</v>
      </c>
      <c r="M11" s="106"/>
      <c r="N11" s="27"/>
      <c r="O11" s="26">
        <f t="shared" si="0"/>
        <v>264.7</v>
      </c>
      <c r="P11" s="27"/>
      <c r="Q11" s="27"/>
      <c r="R11" s="26">
        <f t="shared" si="1"/>
        <v>264.7</v>
      </c>
      <c r="S11" s="12"/>
    </row>
    <row r="12" spans="1:19" s="9" customFormat="1" ht="23.1" customHeight="1" x14ac:dyDescent="0.2">
      <c r="A12" s="10" t="s">
        <v>20</v>
      </c>
      <c r="B12" s="10" t="s">
        <v>21</v>
      </c>
      <c r="C12" s="8" t="s">
        <v>186</v>
      </c>
      <c r="D12" s="8" t="s">
        <v>228</v>
      </c>
      <c r="E12" s="55">
        <v>42282</v>
      </c>
      <c r="F12" s="55">
        <v>42282</v>
      </c>
      <c r="G12" s="10" t="s">
        <v>18</v>
      </c>
      <c r="H12" s="74"/>
      <c r="I12" s="102"/>
      <c r="J12" s="27"/>
      <c r="K12" s="104">
        <v>21.25</v>
      </c>
      <c r="L12" s="27"/>
      <c r="M12" s="27"/>
      <c r="N12" s="27"/>
      <c r="O12" s="26">
        <f t="shared" si="0"/>
        <v>21.25</v>
      </c>
      <c r="P12" s="27"/>
      <c r="Q12" s="27"/>
      <c r="R12" s="26">
        <f t="shared" si="1"/>
        <v>21.25</v>
      </c>
      <c r="S12" s="12"/>
    </row>
    <row r="13" spans="1:19" s="9" customFormat="1" ht="23.1" customHeight="1" x14ac:dyDescent="0.2">
      <c r="A13" s="10" t="s">
        <v>20</v>
      </c>
      <c r="B13" s="10" t="s">
        <v>21</v>
      </c>
      <c r="C13" s="11" t="s">
        <v>107</v>
      </c>
      <c r="D13" s="8" t="s">
        <v>259</v>
      </c>
      <c r="E13" s="55">
        <v>42284</v>
      </c>
      <c r="F13" s="55">
        <v>42284</v>
      </c>
      <c r="G13" s="10" t="s">
        <v>18</v>
      </c>
      <c r="H13" s="74"/>
      <c r="I13" s="102"/>
      <c r="J13" s="27"/>
      <c r="K13" s="104">
        <v>7.25</v>
      </c>
      <c r="L13" s="27"/>
      <c r="M13" s="27"/>
      <c r="N13" s="27"/>
      <c r="O13" s="26">
        <f t="shared" si="0"/>
        <v>7.25</v>
      </c>
      <c r="P13" s="27"/>
      <c r="Q13" s="27"/>
      <c r="R13" s="26">
        <f t="shared" si="1"/>
        <v>7.25</v>
      </c>
      <c r="S13" s="12"/>
    </row>
    <row r="14" spans="1:19" s="9" customFormat="1" ht="23.1" customHeight="1" x14ac:dyDescent="0.2">
      <c r="A14" s="10" t="s">
        <v>20</v>
      </c>
      <c r="B14" s="10" t="s">
        <v>21</v>
      </c>
      <c r="C14" s="8" t="s">
        <v>201</v>
      </c>
      <c r="D14" s="8" t="s">
        <v>260</v>
      </c>
      <c r="E14" s="55">
        <v>42294</v>
      </c>
      <c r="F14" s="55">
        <v>42294</v>
      </c>
      <c r="G14" s="10" t="s">
        <v>224</v>
      </c>
      <c r="H14" s="74"/>
      <c r="I14" s="102"/>
      <c r="J14" s="27"/>
      <c r="K14" s="104">
        <v>20</v>
      </c>
      <c r="L14" s="27"/>
      <c r="M14" s="27"/>
      <c r="N14" s="27"/>
      <c r="O14" s="26">
        <f t="shared" si="0"/>
        <v>20</v>
      </c>
      <c r="P14" s="27"/>
      <c r="Q14" s="27"/>
      <c r="R14" s="26">
        <f t="shared" si="1"/>
        <v>20</v>
      </c>
      <c r="S14" s="12"/>
    </row>
    <row r="15" spans="1:19" s="9" customFormat="1" ht="23.1" customHeight="1" x14ac:dyDescent="0.2">
      <c r="A15" s="10" t="s">
        <v>20</v>
      </c>
      <c r="B15" s="10" t="s">
        <v>21</v>
      </c>
      <c r="C15" s="11" t="s">
        <v>186</v>
      </c>
      <c r="D15" s="8" t="s">
        <v>252</v>
      </c>
      <c r="E15" s="55">
        <v>42297</v>
      </c>
      <c r="F15" s="55">
        <v>42297</v>
      </c>
      <c r="G15" s="10" t="s">
        <v>18</v>
      </c>
      <c r="H15" s="74"/>
      <c r="I15" s="102"/>
      <c r="J15" s="27"/>
      <c r="K15" s="104">
        <v>13</v>
      </c>
      <c r="L15" s="27"/>
      <c r="M15" s="27"/>
      <c r="N15" s="27"/>
      <c r="O15" s="26">
        <f t="shared" si="0"/>
        <v>13</v>
      </c>
      <c r="P15" s="27"/>
      <c r="Q15" s="27"/>
      <c r="R15" s="26">
        <f t="shared" si="1"/>
        <v>13</v>
      </c>
      <c r="S15" s="12"/>
    </row>
    <row r="16" spans="1:19" s="9" customFormat="1" ht="23.1" customHeight="1" x14ac:dyDescent="0.2">
      <c r="A16" s="10" t="s">
        <v>20</v>
      </c>
      <c r="B16" s="10" t="s">
        <v>21</v>
      </c>
      <c r="C16" s="8" t="s">
        <v>186</v>
      </c>
      <c r="D16" s="8" t="s">
        <v>230</v>
      </c>
      <c r="E16" s="55">
        <v>42298</v>
      </c>
      <c r="F16" s="55">
        <v>42298</v>
      </c>
      <c r="G16" s="10" t="s">
        <v>18</v>
      </c>
      <c r="H16" s="74"/>
      <c r="I16" s="102"/>
      <c r="J16" s="27"/>
      <c r="K16" s="104">
        <v>4.75</v>
      </c>
      <c r="L16" s="27"/>
      <c r="M16" s="27"/>
      <c r="N16" s="27"/>
      <c r="O16" s="26">
        <f t="shared" si="0"/>
        <v>4.75</v>
      </c>
      <c r="P16" s="27"/>
      <c r="Q16" s="27"/>
      <c r="R16" s="26">
        <f t="shared" si="1"/>
        <v>4.75</v>
      </c>
      <c r="S16" s="12"/>
    </row>
    <row r="17" spans="1:19" s="12" customFormat="1" ht="21" customHeight="1" x14ac:dyDescent="0.2">
      <c r="A17" s="10" t="s">
        <v>20</v>
      </c>
      <c r="B17" s="10" t="s">
        <v>21</v>
      </c>
      <c r="C17" s="8" t="s">
        <v>186</v>
      </c>
      <c r="D17" s="8" t="s">
        <v>229</v>
      </c>
      <c r="E17" s="55">
        <v>42300</v>
      </c>
      <c r="F17" s="55">
        <v>42300</v>
      </c>
      <c r="G17" s="10" t="s">
        <v>18</v>
      </c>
      <c r="H17" s="74"/>
      <c r="I17" s="102"/>
      <c r="J17" s="27"/>
      <c r="K17" s="104">
        <v>24</v>
      </c>
      <c r="L17" s="27"/>
      <c r="M17" s="27"/>
      <c r="N17" s="27"/>
      <c r="O17" s="26">
        <f t="shared" si="0"/>
        <v>24</v>
      </c>
      <c r="P17" s="27"/>
      <c r="Q17" s="27"/>
      <c r="R17" s="26">
        <f t="shared" si="1"/>
        <v>24</v>
      </c>
    </row>
    <row r="18" spans="1:19" s="12" customFormat="1" ht="23.1" customHeight="1" x14ac:dyDescent="0.2">
      <c r="A18" s="10" t="s">
        <v>20</v>
      </c>
      <c r="B18" s="10" t="s">
        <v>21</v>
      </c>
      <c r="C18" s="8" t="s">
        <v>240</v>
      </c>
      <c r="D18" s="8" t="s">
        <v>225</v>
      </c>
      <c r="E18" s="55">
        <v>42304</v>
      </c>
      <c r="F18" s="55">
        <v>42304</v>
      </c>
      <c r="G18" s="10" t="s">
        <v>18</v>
      </c>
      <c r="H18" s="74"/>
      <c r="I18" s="102"/>
      <c r="J18" s="27"/>
      <c r="K18" s="104">
        <v>17.7</v>
      </c>
      <c r="L18" s="27"/>
      <c r="M18" s="27"/>
      <c r="N18" s="27"/>
      <c r="O18" s="26">
        <f t="shared" si="0"/>
        <v>17.7</v>
      </c>
      <c r="P18" s="27"/>
      <c r="Q18" s="27"/>
      <c r="R18" s="26">
        <f t="shared" si="1"/>
        <v>17.7</v>
      </c>
    </row>
    <row r="19" spans="1:19" s="12" customFormat="1" ht="23.1" customHeight="1" x14ac:dyDescent="0.2">
      <c r="A19" s="10" t="s">
        <v>20</v>
      </c>
      <c r="B19" s="10" t="s">
        <v>21</v>
      </c>
      <c r="C19" s="8" t="s">
        <v>186</v>
      </c>
      <c r="D19" s="8" t="s">
        <v>232</v>
      </c>
      <c r="E19" s="55">
        <v>42305</v>
      </c>
      <c r="F19" s="55">
        <v>42305</v>
      </c>
      <c r="G19" s="10" t="s">
        <v>18</v>
      </c>
      <c r="H19" s="74"/>
      <c r="I19" s="102"/>
      <c r="J19" s="27"/>
      <c r="K19" s="104">
        <v>16</v>
      </c>
      <c r="L19" s="27"/>
      <c r="M19" s="27"/>
      <c r="N19" s="27"/>
      <c r="O19" s="26">
        <f t="shared" si="0"/>
        <v>16</v>
      </c>
      <c r="P19" s="27"/>
      <c r="Q19" s="27"/>
      <c r="R19" s="26">
        <f t="shared" si="1"/>
        <v>16</v>
      </c>
    </row>
    <row r="20" spans="1:19" s="12" customFormat="1" ht="23.1" customHeight="1" x14ac:dyDescent="0.2">
      <c r="A20" s="10" t="s">
        <v>20</v>
      </c>
      <c r="B20" s="10" t="s">
        <v>21</v>
      </c>
      <c r="C20" s="8" t="s">
        <v>186</v>
      </c>
      <c r="D20" s="8" t="s">
        <v>233</v>
      </c>
      <c r="E20" s="55">
        <v>42306</v>
      </c>
      <c r="F20" s="55">
        <v>42306</v>
      </c>
      <c r="G20" s="10" t="s">
        <v>18</v>
      </c>
      <c r="H20" s="74"/>
      <c r="I20" s="102"/>
      <c r="J20" s="27"/>
      <c r="K20" s="104">
        <v>8</v>
      </c>
      <c r="L20" s="27"/>
      <c r="M20" s="27"/>
      <c r="N20" s="27"/>
      <c r="O20" s="26">
        <f t="shared" si="0"/>
        <v>8</v>
      </c>
      <c r="P20" s="27"/>
      <c r="Q20" s="27"/>
      <c r="R20" s="26">
        <f t="shared" si="1"/>
        <v>8</v>
      </c>
    </row>
    <row r="21" spans="1:19" s="12" customFormat="1" ht="23.1" customHeight="1" x14ac:dyDescent="0.2">
      <c r="A21" s="10" t="s">
        <v>20</v>
      </c>
      <c r="B21" s="10" t="s">
        <v>21</v>
      </c>
      <c r="C21" s="11" t="s">
        <v>107</v>
      </c>
      <c r="D21" s="20" t="s">
        <v>253</v>
      </c>
      <c r="E21" s="55">
        <v>42317</v>
      </c>
      <c r="F21" s="55">
        <v>42317</v>
      </c>
      <c r="G21" s="10" t="s">
        <v>18</v>
      </c>
      <c r="H21" s="27"/>
      <c r="I21" s="27"/>
      <c r="J21" s="27"/>
      <c r="K21" s="104">
        <v>16.25</v>
      </c>
      <c r="L21" s="27"/>
      <c r="M21" s="27"/>
      <c r="N21" s="27"/>
      <c r="O21" s="26">
        <f t="shared" si="0"/>
        <v>16.25</v>
      </c>
      <c r="P21" s="27"/>
      <c r="Q21" s="27"/>
      <c r="R21" s="26">
        <f t="shared" si="1"/>
        <v>16.25</v>
      </c>
    </row>
    <row r="22" spans="1:19" s="12" customFormat="1" ht="23.1" customHeight="1" x14ac:dyDescent="0.2">
      <c r="A22" s="10" t="s">
        <v>20</v>
      </c>
      <c r="B22" s="10" t="s">
        <v>21</v>
      </c>
      <c r="C22" s="11" t="s">
        <v>55</v>
      </c>
      <c r="D22" s="20"/>
      <c r="E22" s="55">
        <v>42332</v>
      </c>
      <c r="F22" s="55">
        <v>42333</v>
      </c>
      <c r="G22" s="10" t="s">
        <v>18</v>
      </c>
      <c r="H22" s="27"/>
      <c r="I22" s="27"/>
      <c r="J22" s="27"/>
      <c r="K22" s="104">
        <v>20</v>
      </c>
      <c r="L22" s="27"/>
      <c r="M22" s="27"/>
      <c r="N22" s="27"/>
      <c r="O22" s="26">
        <f t="shared" si="0"/>
        <v>20</v>
      </c>
      <c r="P22" s="27"/>
      <c r="Q22" s="27"/>
      <c r="R22" s="26">
        <f t="shared" si="1"/>
        <v>20</v>
      </c>
    </row>
    <row r="23" spans="1:19" s="12" customFormat="1" ht="23.1" customHeight="1" x14ac:dyDescent="0.2">
      <c r="A23" s="10" t="s">
        <v>20</v>
      </c>
      <c r="B23" s="10" t="s">
        <v>21</v>
      </c>
      <c r="C23" s="11" t="s">
        <v>190</v>
      </c>
      <c r="D23" s="20" t="s">
        <v>254</v>
      </c>
      <c r="E23" s="55">
        <v>42335</v>
      </c>
      <c r="F23" s="55">
        <v>42335</v>
      </c>
      <c r="G23" s="10" t="s">
        <v>18</v>
      </c>
      <c r="H23" s="27"/>
      <c r="I23" s="27"/>
      <c r="J23" s="27"/>
      <c r="K23" s="104">
        <v>32</v>
      </c>
      <c r="L23" s="27"/>
      <c r="M23" s="27"/>
      <c r="N23" s="27"/>
      <c r="O23" s="26">
        <f t="shared" si="0"/>
        <v>32</v>
      </c>
      <c r="P23" s="27"/>
      <c r="Q23" s="27"/>
      <c r="R23" s="26">
        <f t="shared" si="1"/>
        <v>32</v>
      </c>
    </row>
    <row r="24" spans="1:19" s="12" customFormat="1" ht="23.1" customHeight="1" x14ac:dyDescent="0.2">
      <c r="A24" s="10" t="s">
        <v>20</v>
      </c>
      <c r="B24" s="10" t="s">
        <v>21</v>
      </c>
      <c r="C24" s="11" t="s">
        <v>186</v>
      </c>
      <c r="D24" s="20" t="s">
        <v>255</v>
      </c>
      <c r="E24" s="55">
        <v>42339</v>
      </c>
      <c r="F24" s="55">
        <v>42339</v>
      </c>
      <c r="G24" s="10" t="s">
        <v>18</v>
      </c>
      <c r="H24" s="27"/>
      <c r="I24" s="27"/>
      <c r="J24" s="27"/>
      <c r="K24" s="104">
        <v>9</v>
      </c>
      <c r="L24" s="27"/>
      <c r="M24" s="27"/>
      <c r="N24" s="27"/>
      <c r="O24" s="26">
        <f t="shared" si="0"/>
        <v>9</v>
      </c>
      <c r="P24" s="27"/>
      <c r="Q24" s="27"/>
      <c r="R24" s="26">
        <f t="shared" si="1"/>
        <v>9</v>
      </c>
    </row>
    <row r="25" spans="1:19" s="12" customFormat="1" ht="23.1" customHeight="1" x14ac:dyDescent="0.2">
      <c r="A25" s="37" t="s">
        <v>210</v>
      </c>
      <c r="B25" s="18" t="s">
        <v>25</v>
      </c>
      <c r="C25" s="11" t="s">
        <v>55</v>
      </c>
      <c r="D25" s="18"/>
      <c r="E25" s="58">
        <v>42277</v>
      </c>
      <c r="F25" s="58">
        <v>42278</v>
      </c>
      <c r="G25" s="57" t="s">
        <v>22</v>
      </c>
      <c r="H25" s="39"/>
      <c r="I25" s="39"/>
      <c r="J25" s="107"/>
      <c r="K25" s="107"/>
      <c r="L25" s="107">
        <v>159</v>
      </c>
      <c r="M25" s="107"/>
      <c r="N25" s="40"/>
      <c r="O25" s="26">
        <f t="shared" si="0"/>
        <v>159</v>
      </c>
      <c r="P25" s="40"/>
      <c r="Q25" s="40"/>
      <c r="R25" s="26">
        <f>SUM(O25:P25:Q25)</f>
        <v>159</v>
      </c>
      <c r="S25" s="9"/>
    </row>
    <row r="26" spans="1:19" s="12" customFormat="1" ht="23.1" customHeight="1" x14ac:dyDescent="0.2">
      <c r="A26" s="7" t="s">
        <v>211</v>
      </c>
      <c r="B26" s="14" t="s">
        <v>212</v>
      </c>
      <c r="C26" s="11" t="s">
        <v>55</v>
      </c>
      <c r="D26" s="18"/>
      <c r="E26" s="58">
        <v>42277</v>
      </c>
      <c r="F26" s="58">
        <v>42278</v>
      </c>
      <c r="G26" s="57" t="s">
        <v>22</v>
      </c>
      <c r="H26" s="52"/>
      <c r="I26" s="74"/>
      <c r="J26" s="104"/>
      <c r="K26" s="104"/>
      <c r="L26" s="104">
        <v>159</v>
      </c>
      <c r="M26" s="104"/>
      <c r="N26" s="28"/>
      <c r="O26" s="26">
        <f t="shared" si="0"/>
        <v>159</v>
      </c>
      <c r="P26" s="28"/>
      <c r="Q26" s="28"/>
      <c r="R26" s="26">
        <f t="shared" ref="R26:R40" si="2">SUM(O26:Q26)</f>
        <v>159</v>
      </c>
    </row>
    <row r="27" spans="1:19" s="12" customFormat="1" ht="23.1" customHeight="1" x14ac:dyDescent="0.2">
      <c r="A27" s="7" t="s">
        <v>248</v>
      </c>
      <c r="B27" s="14" t="s">
        <v>249</v>
      </c>
      <c r="C27" s="8" t="s">
        <v>262</v>
      </c>
      <c r="D27" s="20"/>
      <c r="E27" s="55">
        <v>42310</v>
      </c>
      <c r="F27" s="55">
        <v>42312</v>
      </c>
      <c r="G27" s="13" t="s">
        <v>250</v>
      </c>
      <c r="H27" s="7"/>
      <c r="I27" s="7"/>
      <c r="J27" s="46"/>
      <c r="K27" s="46"/>
      <c r="L27" s="109">
        <v>305.95999999999998</v>
      </c>
      <c r="M27" s="46"/>
      <c r="N27" s="46"/>
      <c r="O27" s="47">
        <f t="shared" si="0"/>
        <v>305.95999999999998</v>
      </c>
      <c r="P27" s="46"/>
      <c r="Q27" s="46"/>
      <c r="R27" s="47">
        <f t="shared" si="2"/>
        <v>305.95999999999998</v>
      </c>
      <c r="S27" s="9"/>
    </row>
    <row r="28" spans="1:19" s="12" customFormat="1" ht="23.1" customHeight="1" x14ac:dyDescent="0.2">
      <c r="A28" s="7" t="s">
        <v>248</v>
      </c>
      <c r="B28" s="14" t="s">
        <v>249</v>
      </c>
      <c r="C28" s="8" t="s">
        <v>72</v>
      </c>
      <c r="D28" s="13" t="s">
        <v>238</v>
      </c>
      <c r="E28" s="55">
        <v>42314</v>
      </c>
      <c r="F28" s="55">
        <v>42321</v>
      </c>
      <c r="G28" s="13" t="s">
        <v>267</v>
      </c>
      <c r="H28" s="7"/>
      <c r="I28" s="7"/>
      <c r="J28" s="46"/>
      <c r="K28" s="109">
        <f>24+82.5</f>
        <v>106.5</v>
      </c>
      <c r="L28" s="109">
        <v>715.88</v>
      </c>
      <c r="M28" s="46"/>
      <c r="N28" s="46"/>
      <c r="O28" s="47">
        <f t="shared" si="0"/>
        <v>822.38</v>
      </c>
      <c r="P28" s="46"/>
      <c r="Q28" s="46"/>
      <c r="R28" s="47">
        <f t="shared" si="2"/>
        <v>822.38</v>
      </c>
      <c r="S28" s="9"/>
    </row>
    <row r="29" spans="1:19" s="9" customFormat="1" ht="24" x14ac:dyDescent="0.2">
      <c r="A29" s="7" t="s">
        <v>248</v>
      </c>
      <c r="B29" s="14" t="s">
        <v>249</v>
      </c>
      <c r="C29" s="8" t="s">
        <v>262</v>
      </c>
      <c r="D29" s="20"/>
      <c r="E29" s="55">
        <v>42322</v>
      </c>
      <c r="F29" s="55">
        <v>42327</v>
      </c>
      <c r="G29" s="13" t="s">
        <v>250</v>
      </c>
      <c r="H29" s="7"/>
      <c r="I29" s="7"/>
      <c r="J29" s="46"/>
      <c r="K29" s="46"/>
      <c r="L29" s="109">
        <v>764.8</v>
      </c>
      <c r="M29" s="46"/>
      <c r="N29" s="46"/>
      <c r="O29" s="47">
        <f t="shared" ref="O29:O57" si="3">SUM(J29:N29)</f>
        <v>764.8</v>
      </c>
      <c r="P29" s="46"/>
      <c r="Q29" s="46"/>
      <c r="R29" s="47">
        <f t="shared" si="2"/>
        <v>764.8</v>
      </c>
    </row>
    <row r="30" spans="1:19" s="9" customFormat="1" ht="24" x14ac:dyDescent="0.2">
      <c r="A30" s="7" t="s">
        <v>248</v>
      </c>
      <c r="B30" s="14" t="s">
        <v>249</v>
      </c>
      <c r="C30" s="8" t="s">
        <v>262</v>
      </c>
      <c r="D30" s="20"/>
      <c r="E30" s="55">
        <v>42330</v>
      </c>
      <c r="F30" s="55">
        <v>42334</v>
      </c>
      <c r="G30" s="13" t="s">
        <v>250</v>
      </c>
      <c r="H30" s="7"/>
      <c r="I30" s="7"/>
      <c r="J30" s="46"/>
      <c r="K30" s="46"/>
      <c r="L30" s="109">
        <v>611.84</v>
      </c>
      <c r="M30" s="46"/>
      <c r="N30" s="46"/>
      <c r="O30" s="47">
        <f t="shared" si="3"/>
        <v>611.84</v>
      </c>
      <c r="P30" s="46"/>
      <c r="Q30" s="46"/>
      <c r="R30" s="47">
        <f t="shared" si="2"/>
        <v>611.84</v>
      </c>
    </row>
    <row r="31" spans="1:19" s="9" customFormat="1" ht="24" x14ac:dyDescent="0.2">
      <c r="A31" s="7" t="s">
        <v>248</v>
      </c>
      <c r="B31" s="14" t="s">
        <v>249</v>
      </c>
      <c r="C31" s="8" t="s">
        <v>262</v>
      </c>
      <c r="D31" s="20"/>
      <c r="E31" s="55">
        <v>42341</v>
      </c>
      <c r="F31" s="55">
        <v>42344</v>
      </c>
      <c r="G31" s="13" t="s">
        <v>250</v>
      </c>
      <c r="H31" s="7"/>
      <c r="I31" s="7"/>
      <c r="J31" s="46"/>
      <c r="K31" s="46"/>
      <c r="L31" s="109">
        <v>412.68</v>
      </c>
      <c r="M31" s="46"/>
      <c r="N31" s="46"/>
      <c r="O31" s="47">
        <f t="shared" si="3"/>
        <v>412.68</v>
      </c>
      <c r="P31" s="46"/>
      <c r="Q31" s="46"/>
      <c r="R31" s="47">
        <f t="shared" si="2"/>
        <v>412.68</v>
      </c>
    </row>
    <row r="32" spans="1:19" s="9" customFormat="1" ht="23.1" customHeight="1" x14ac:dyDescent="0.2">
      <c r="A32" s="7" t="s">
        <v>248</v>
      </c>
      <c r="B32" s="14" t="s">
        <v>249</v>
      </c>
      <c r="C32" s="8" t="s">
        <v>262</v>
      </c>
      <c r="D32" s="20"/>
      <c r="E32" s="55">
        <v>42351</v>
      </c>
      <c r="F32" s="55">
        <v>42353</v>
      </c>
      <c r="G32" s="13" t="s">
        <v>250</v>
      </c>
      <c r="H32" s="7"/>
      <c r="I32" s="7"/>
      <c r="J32" s="46"/>
      <c r="K32" s="46"/>
      <c r="L32" s="109">
        <v>275.12</v>
      </c>
      <c r="M32" s="46"/>
      <c r="N32" s="46"/>
      <c r="O32" s="47">
        <f t="shared" si="3"/>
        <v>275.12</v>
      </c>
      <c r="P32" s="46"/>
      <c r="Q32" s="46"/>
      <c r="R32" s="47">
        <f t="shared" si="2"/>
        <v>275.12</v>
      </c>
    </row>
    <row r="33" spans="1:19" s="9" customFormat="1" ht="23.1" customHeight="1" x14ac:dyDescent="0.2">
      <c r="A33" s="7" t="s">
        <v>31</v>
      </c>
      <c r="B33" s="14" t="s">
        <v>139</v>
      </c>
      <c r="C33" s="11" t="s">
        <v>55</v>
      </c>
      <c r="D33" s="18"/>
      <c r="E33" s="58">
        <v>42277</v>
      </c>
      <c r="F33" s="58">
        <v>42278</v>
      </c>
      <c r="G33" s="57" t="s">
        <v>22</v>
      </c>
      <c r="H33" s="52"/>
      <c r="I33" s="74"/>
      <c r="J33" s="104"/>
      <c r="K33" s="104">
        <v>13.1</v>
      </c>
      <c r="L33" s="104">
        <v>159</v>
      </c>
      <c r="M33" s="104"/>
      <c r="N33" s="28"/>
      <c r="O33" s="26">
        <f t="shared" si="3"/>
        <v>172.1</v>
      </c>
      <c r="P33" s="28"/>
      <c r="Q33" s="28"/>
      <c r="R33" s="26">
        <f t="shared" si="2"/>
        <v>172.1</v>
      </c>
      <c r="S33" s="12"/>
    </row>
    <row r="34" spans="1:19" s="9" customFormat="1" ht="23.1" customHeight="1" x14ac:dyDescent="0.2">
      <c r="A34" s="7" t="s">
        <v>31</v>
      </c>
      <c r="B34" s="14" t="s">
        <v>139</v>
      </c>
      <c r="C34" s="11" t="s">
        <v>186</v>
      </c>
      <c r="D34" s="18" t="s">
        <v>244</v>
      </c>
      <c r="E34" s="58">
        <v>42290</v>
      </c>
      <c r="F34" s="58">
        <v>42292</v>
      </c>
      <c r="G34" s="57" t="s">
        <v>215</v>
      </c>
      <c r="H34" s="52"/>
      <c r="I34" s="74"/>
      <c r="J34" s="104">
        <v>42</v>
      </c>
      <c r="K34" s="104">
        <v>55</v>
      </c>
      <c r="L34" s="104">
        <v>599.66999999999996</v>
      </c>
      <c r="M34" s="28"/>
      <c r="N34" s="28"/>
      <c r="O34" s="26">
        <f t="shared" si="3"/>
        <v>696.67</v>
      </c>
      <c r="P34" s="28"/>
      <c r="Q34" s="28"/>
      <c r="R34" s="26">
        <f t="shared" si="2"/>
        <v>696.67</v>
      </c>
      <c r="S34" s="12"/>
    </row>
    <row r="35" spans="1:19" s="9" customFormat="1" ht="24" x14ac:dyDescent="0.2">
      <c r="A35" s="7" t="s">
        <v>31</v>
      </c>
      <c r="B35" s="14" t="s">
        <v>139</v>
      </c>
      <c r="C35" s="8" t="s">
        <v>72</v>
      </c>
      <c r="D35" s="13" t="s">
        <v>263</v>
      </c>
      <c r="E35" s="55">
        <v>42313</v>
      </c>
      <c r="F35" s="55">
        <v>42313</v>
      </c>
      <c r="G35" s="13" t="s">
        <v>166</v>
      </c>
      <c r="H35" s="103" t="s">
        <v>266</v>
      </c>
      <c r="I35" s="74"/>
      <c r="J35" s="28"/>
      <c r="K35" s="104">
        <v>74</v>
      </c>
      <c r="L35" s="28"/>
      <c r="M35" s="28"/>
      <c r="N35" s="28"/>
      <c r="O35" s="26">
        <f t="shared" si="3"/>
        <v>74</v>
      </c>
      <c r="P35" s="28"/>
      <c r="Q35" s="28"/>
      <c r="R35" s="26">
        <f t="shared" si="2"/>
        <v>74</v>
      </c>
      <c r="S35" s="12"/>
    </row>
    <row r="36" spans="1:19" s="9" customFormat="1" ht="24" x14ac:dyDescent="0.2">
      <c r="A36" s="7" t="s">
        <v>31</v>
      </c>
      <c r="B36" s="14" t="s">
        <v>139</v>
      </c>
      <c r="C36" s="8" t="s">
        <v>72</v>
      </c>
      <c r="D36" s="13" t="s">
        <v>263</v>
      </c>
      <c r="E36" s="55">
        <v>42320</v>
      </c>
      <c r="F36" s="55">
        <v>42320</v>
      </c>
      <c r="G36" s="13" t="s">
        <v>258</v>
      </c>
      <c r="H36" s="52"/>
      <c r="I36" s="74"/>
      <c r="J36" s="28"/>
      <c r="K36" s="104">
        <v>96</v>
      </c>
      <c r="L36" s="28"/>
      <c r="M36" s="28"/>
      <c r="N36" s="28"/>
      <c r="O36" s="26">
        <f t="shared" si="3"/>
        <v>96</v>
      </c>
      <c r="P36" s="28"/>
      <c r="Q36" s="28"/>
      <c r="R36" s="26">
        <f t="shared" si="2"/>
        <v>96</v>
      </c>
      <c r="S36" s="12"/>
    </row>
    <row r="37" spans="1:19" s="9" customFormat="1" ht="24" x14ac:dyDescent="0.2">
      <c r="A37" s="7" t="s">
        <v>31</v>
      </c>
      <c r="B37" s="14" t="s">
        <v>139</v>
      </c>
      <c r="C37" s="11" t="s">
        <v>186</v>
      </c>
      <c r="D37" s="18" t="s">
        <v>245</v>
      </c>
      <c r="E37" s="58">
        <v>42324</v>
      </c>
      <c r="F37" s="58">
        <v>42325</v>
      </c>
      <c r="G37" s="57" t="s">
        <v>246</v>
      </c>
      <c r="H37" s="52"/>
      <c r="I37" s="74"/>
      <c r="J37" s="104">
        <v>326.55</v>
      </c>
      <c r="K37" s="104">
        <f>72.18</f>
        <v>72.180000000000007</v>
      </c>
      <c r="L37" s="104">
        <v>137.71</v>
      </c>
      <c r="M37" s="104">
        <v>16</v>
      </c>
      <c r="N37" s="28"/>
      <c r="O37" s="26">
        <f t="shared" si="3"/>
        <v>552.44000000000005</v>
      </c>
      <c r="P37" s="28"/>
      <c r="Q37" s="28"/>
      <c r="R37" s="26">
        <f t="shared" si="2"/>
        <v>552.44000000000005</v>
      </c>
      <c r="S37" s="12"/>
    </row>
    <row r="38" spans="1:19" s="9" customFormat="1" ht="24" x14ac:dyDescent="0.2">
      <c r="A38" s="7" t="s">
        <v>31</v>
      </c>
      <c r="B38" s="14" t="s">
        <v>139</v>
      </c>
      <c r="C38" s="11" t="s">
        <v>190</v>
      </c>
      <c r="D38" s="20" t="s">
        <v>254</v>
      </c>
      <c r="E38" s="55">
        <v>42335</v>
      </c>
      <c r="F38" s="55">
        <v>42335</v>
      </c>
      <c r="G38" s="57" t="s">
        <v>18</v>
      </c>
      <c r="H38" s="52"/>
      <c r="I38" s="74"/>
      <c r="J38" s="28"/>
      <c r="K38" s="104">
        <v>5.88</v>
      </c>
      <c r="L38" s="28"/>
      <c r="M38" s="28"/>
      <c r="N38" s="28"/>
      <c r="O38" s="26">
        <f t="shared" si="3"/>
        <v>5.88</v>
      </c>
      <c r="P38" s="28"/>
      <c r="Q38" s="28"/>
      <c r="R38" s="26">
        <f t="shared" si="2"/>
        <v>5.88</v>
      </c>
      <c r="S38" s="12"/>
    </row>
    <row r="39" spans="1:19" s="12" customFormat="1" ht="24" x14ac:dyDescent="0.2">
      <c r="A39" s="7" t="s">
        <v>31</v>
      </c>
      <c r="B39" s="14" t="s">
        <v>139</v>
      </c>
      <c r="C39" s="11" t="s">
        <v>107</v>
      </c>
      <c r="D39" s="18" t="s">
        <v>257</v>
      </c>
      <c r="E39" s="58">
        <v>42338</v>
      </c>
      <c r="F39" s="58">
        <v>42338</v>
      </c>
      <c r="G39" s="57" t="s">
        <v>18</v>
      </c>
      <c r="H39" s="52"/>
      <c r="I39" s="74"/>
      <c r="J39" s="28"/>
      <c r="K39" s="104">
        <v>15</v>
      </c>
      <c r="L39" s="28"/>
      <c r="M39" s="28"/>
      <c r="N39" s="28"/>
      <c r="O39" s="26">
        <f t="shared" si="3"/>
        <v>15</v>
      </c>
      <c r="P39" s="28"/>
      <c r="Q39" s="28"/>
      <c r="R39" s="26">
        <f t="shared" si="2"/>
        <v>15</v>
      </c>
    </row>
    <row r="40" spans="1:19" s="12" customFormat="1" ht="24" x14ac:dyDescent="0.2">
      <c r="A40" s="7" t="s">
        <v>31</v>
      </c>
      <c r="B40" s="14" t="s">
        <v>139</v>
      </c>
      <c r="C40" s="11" t="s">
        <v>190</v>
      </c>
      <c r="D40" s="20"/>
      <c r="E40" s="55">
        <v>42338</v>
      </c>
      <c r="F40" s="55">
        <v>42339</v>
      </c>
      <c r="G40" s="57" t="s">
        <v>256</v>
      </c>
      <c r="H40" s="52"/>
      <c r="I40" s="74"/>
      <c r="J40" s="28"/>
      <c r="K40" s="104">
        <v>90</v>
      </c>
      <c r="L40" s="104">
        <v>90</v>
      </c>
      <c r="M40" s="28"/>
      <c r="N40" s="28"/>
      <c r="O40" s="26">
        <f t="shared" si="3"/>
        <v>180</v>
      </c>
      <c r="P40" s="28"/>
      <c r="Q40" s="28"/>
      <c r="R40" s="26">
        <f t="shared" si="2"/>
        <v>180</v>
      </c>
    </row>
    <row r="41" spans="1:19" s="9" customFormat="1" ht="12" x14ac:dyDescent="0.2">
      <c r="A41" s="37" t="s">
        <v>1</v>
      </c>
      <c r="B41" s="18" t="s">
        <v>25</v>
      </c>
      <c r="C41" s="11" t="s">
        <v>55</v>
      </c>
      <c r="D41" s="18"/>
      <c r="E41" s="58">
        <v>42277</v>
      </c>
      <c r="F41" s="58">
        <v>42278</v>
      </c>
      <c r="G41" s="57" t="s">
        <v>22</v>
      </c>
      <c r="H41" s="39"/>
      <c r="I41" s="39"/>
      <c r="J41" s="107"/>
      <c r="K41" s="107">
        <v>180</v>
      </c>
      <c r="L41" s="107">
        <v>159</v>
      </c>
      <c r="M41" s="107">
        <v>8.75</v>
      </c>
      <c r="N41" s="40"/>
      <c r="O41" s="26">
        <f t="shared" si="3"/>
        <v>347.75</v>
      </c>
      <c r="P41" s="40"/>
      <c r="Q41" s="40"/>
      <c r="R41" s="26">
        <f>SUM(O41:P41:Q41)</f>
        <v>347.75</v>
      </c>
    </row>
    <row r="42" spans="1:19" s="9" customFormat="1" ht="12" x14ac:dyDescent="0.2">
      <c r="A42" s="37" t="s">
        <v>1</v>
      </c>
      <c r="B42" s="18" t="s">
        <v>25</v>
      </c>
      <c r="C42" s="11" t="s">
        <v>192</v>
      </c>
      <c r="D42" s="18"/>
      <c r="E42" s="55">
        <v>42327</v>
      </c>
      <c r="F42" s="55">
        <v>42327</v>
      </c>
      <c r="G42" s="57" t="s">
        <v>18</v>
      </c>
      <c r="H42" s="39"/>
      <c r="I42" s="39"/>
      <c r="J42" s="40"/>
      <c r="K42" s="104">
        <v>125.6</v>
      </c>
      <c r="L42" s="104"/>
      <c r="M42" s="104">
        <v>7.75</v>
      </c>
      <c r="N42" s="40"/>
      <c r="O42" s="26">
        <f t="shared" si="3"/>
        <v>133.35</v>
      </c>
      <c r="P42" s="40"/>
      <c r="Q42" s="40"/>
      <c r="R42" s="26">
        <f>SUM(O42:P42:Q42)</f>
        <v>133.35</v>
      </c>
    </row>
    <row r="43" spans="1:19" s="9" customFormat="1" ht="12" x14ac:dyDescent="0.2">
      <c r="A43" s="37" t="s">
        <v>1</v>
      </c>
      <c r="B43" s="18" t="s">
        <v>25</v>
      </c>
      <c r="C43" s="11" t="s">
        <v>55</v>
      </c>
      <c r="D43" s="18"/>
      <c r="E43" s="55">
        <v>42332</v>
      </c>
      <c r="F43" s="55">
        <v>42333</v>
      </c>
      <c r="G43" s="57" t="s">
        <v>18</v>
      </c>
      <c r="H43" s="39"/>
      <c r="I43" s="39"/>
      <c r="J43" s="40"/>
      <c r="K43" s="107">
        <v>139.19999999999999</v>
      </c>
      <c r="L43" s="107">
        <v>132.41999999999999</v>
      </c>
      <c r="M43" s="107">
        <v>7.75</v>
      </c>
      <c r="N43" s="40"/>
      <c r="O43" s="26">
        <f t="shared" si="3"/>
        <v>279.37</v>
      </c>
      <c r="P43" s="40"/>
      <c r="Q43" s="40"/>
      <c r="R43" s="26">
        <f>SUM(O43:P43:Q43)</f>
        <v>279.37</v>
      </c>
    </row>
    <row r="44" spans="1:19" s="9" customFormat="1" ht="12" x14ac:dyDescent="0.2">
      <c r="A44" s="37" t="s">
        <v>208</v>
      </c>
      <c r="B44" s="18" t="s">
        <v>25</v>
      </c>
      <c r="C44" s="11" t="s">
        <v>55</v>
      </c>
      <c r="D44" s="18"/>
      <c r="E44" s="58">
        <v>42277</v>
      </c>
      <c r="F44" s="58">
        <v>42278</v>
      </c>
      <c r="G44" s="57" t="s">
        <v>22</v>
      </c>
      <c r="H44" s="39"/>
      <c r="I44" s="39"/>
      <c r="J44" s="107"/>
      <c r="K44" s="107">
        <v>113.7</v>
      </c>
      <c r="L44" s="107">
        <v>159</v>
      </c>
      <c r="M44" s="107"/>
      <c r="N44" s="40"/>
      <c r="O44" s="26">
        <f t="shared" si="3"/>
        <v>272.7</v>
      </c>
      <c r="P44" s="40"/>
      <c r="Q44" s="40"/>
      <c r="R44" s="26">
        <f>SUM(O44:P44:Q44)</f>
        <v>272.7</v>
      </c>
    </row>
    <row r="45" spans="1:19" s="9" customFormat="1" ht="12" x14ac:dyDescent="0.2">
      <c r="A45" s="37" t="s">
        <v>173</v>
      </c>
      <c r="B45" s="18" t="s">
        <v>25</v>
      </c>
      <c r="C45" s="11" t="s">
        <v>55</v>
      </c>
      <c r="D45" s="18"/>
      <c r="E45" s="58">
        <v>42277</v>
      </c>
      <c r="F45" s="58">
        <v>42278</v>
      </c>
      <c r="G45" s="57" t="s">
        <v>22</v>
      </c>
      <c r="H45" s="39"/>
      <c r="I45" s="39"/>
      <c r="J45" s="107"/>
      <c r="K45" s="107"/>
      <c r="L45" s="107">
        <v>159</v>
      </c>
      <c r="M45" s="107"/>
      <c r="N45" s="40"/>
      <c r="O45" s="26">
        <f t="shared" si="3"/>
        <v>159</v>
      </c>
      <c r="P45" s="40"/>
      <c r="Q45" s="40"/>
      <c r="R45" s="26">
        <f>SUM(O45:P45:Q45)</f>
        <v>159</v>
      </c>
    </row>
    <row r="46" spans="1:19" s="9" customFormat="1" ht="12" x14ac:dyDescent="0.2">
      <c r="A46" s="37" t="s">
        <v>50</v>
      </c>
      <c r="B46" s="18" t="s">
        <v>25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39"/>
      <c r="I46" s="39"/>
      <c r="J46" s="107"/>
      <c r="K46" s="107"/>
      <c r="L46" s="107">
        <v>159</v>
      </c>
      <c r="M46" s="107"/>
      <c r="N46" s="40"/>
      <c r="O46" s="26">
        <f t="shared" si="3"/>
        <v>159</v>
      </c>
      <c r="P46" s="40"/>
      <c r="Q46" s="40"/>
      <c r="R46" s="26">
        <f>SUM(O46:P46:Q46)</f>
        <v>159</v>
      </c>
    </row>
    <row r="47" spans="1:19" s="9" customFormat="1" ht="12" x14ac:dyDescent="0.2">
      <c r="A47" s="37" t="s">
        <v>50</v>
      </c>
      <c r="B47" s="18" t="s">
        <v>25</v>
      </c>
      <c r="C47" s="11" t="s">
        <v>55</v>
      </c>
      <c r="D47" s="18"/>
      <c r="E47" s="55">
        <v>42332</v>
      </c>
      <c r="F47" s="55">
        <v>42333</v>
      </c>
      <c r="G47" s="13" t="s">
        <v>18</v>
      </c>
      <c r="H47" s="39"/>
      <c r="I47" s="39"/>
      <c r="J47" s="107"/>
      <c r="K47" s="107">
        <v>29</v>
      </c>
      <c r="L47" s="107">
        <v>132.41999999999999</v>
      </c>
      <c r="M47" s="107"/>
      <c r="N47" s="40"/>
      <c r="O47" s="26">
        <f t="shared" si="3"/>
        <v>161.41999999999999</v>
      </c>
      <c r="P47" s="40"/>
      <c r="Q47" s="40"/>
      <c r="R47" s="26">
        <f>SUM(O47:P47:Q47)</f>
        <v>161.41999999999999</v>
      </c>
    </row>
    <row r="48" spans="1:19" s="9" customFormat="1" ht="12" x14ac:dyDescent="0.2">
      <c r="A48" s="37" t="s">
        <v>205</v>
      </c>
      <c r="B48" s="18" t="s">
        <v>37</v>
      </c>
      <c r="C48" s="11" t="s">
        <v>55</v>
      </c>
      <c r="D48" s="18"/>
      <c r="E48" s="58">
        <v>42277</v>
      </c>
      <c r="F48" s="58">
        <v>42278</v>
      </c>
      <c r="G48" s="57" t="s">
        <v>22</v>
      </c>
      <c r="H48" s="37"/>
      <c r="I48" s="37"/>
      <c r="J48" s="105"/>
      <c r="K48" s="105"/>
      <c r="L48" s="105">
        <v>159</v>
      </c>
      <c r="M48" s="105"/>
      <c r="N48" s="48"/>
      <c r="O48" s="47">
        <f t="shared" si="3"/>
        <v>159</v>
      </c>
      <c r="P48" s="48"/>
      <c r="Q48" s="48"/>
      <c r="R48" s="47">
        <f>SUM(O48:P48:Q48)</f>
        <v>159</v>
      </c>
      <c r="S48" s="49"/>
    </row>
    <row r="49" spans="1:19" s="9" customFormat="1" ht="12" x14ac:dyDescent="0.2">
      <c r="A49" s="37" t="s">
        <v>2</v>
      </c>
      <c r="B49" s="18" t="s">
        <v>191</v>
      </c>
      <c r="C49" s="8" t="s">
        <v>72</v>
      </c>
      <c r="D49" s="18"/>
      <c r="E49" s="55">
        <v>42320</v>
      </c>
      <c r="F49" s="55">
        <v>42320</v>
      </c>
      <c r="G49" s="57" t="s">
        <v>239</v>
      </c>
      <c r="H49" s="37"/>
      <c r="I49" s="37"/>
      <c r="J49" s="48"/>
      <c r="K49" s="108">
        <v>96.4</v>
      </c>
      <c r="L49" s="48"/>
      <c r="M49" s="48"/>
      <c r="N49" s="48"/>
      <c r="O49" s="47">
        <f t="shared" si="3"/>
        <v>96.4</v>
      </c>
      <c r="P49" s="48"/>
      <c r="Q49" s="48"/>
      <c r="R49" s="47">
        <f>SUM(O49:Q49)</f>
        <v>96.4</v>
      </c>
      <c r="S49" s="49"/>
    </row>
    <row r="50" spans="1:19" s="12" customFormat="1" ht="12" x14ac:dyDescent="0.2">
      <c r="A50" s="37" t="s">
        <v>48</v>
      </c>
      <c r="B50" s="18" t="s">
        <v>25</v>
      </c>
      <c r="C50" s="11" t="s">
        <v>55</v>
      </c>
      <c r="D50" s="18"/>
      <c r="E50" s="58">
        <v>42277</v>
      </c>
      <c r="F50" s="58">
        <v>42278</v>
      </c>
      <c r="G50" s="57" t="s">
        <v>22</v>
      </c>
      <c r="H50" s="39"/>
      <c r="I50" s="39"/>
      <c r="J50" s="107"/>
      <c r="K50" s="107"/>
      <c r="L50" s="107">
        <v>159</v>
      </c>
      <c r="M50" s="107"/>
      <c r="N50" s="40"/>
      <c r="O50" s="26">
        <f t="shared" si="3"/>
        <v>159</v>
      </c>
      <c r="P50" s="40"/>
      <c r="Q50" s="40"/>
      <c r="R50" s="26">
        <f>SUM(O50:P50:Q50)</f>
        <v>159</v>
      </c>
      <c r="S50" s="9"/>
    </row>
    <row r="51" spans="1:19" s="12" customFormat="1" ht="12" x14ac:dyDescent="0.2">
      <c r="A51" s="37" t="s">
        <v>48</v>
      </c>
      <c r="B51" s="18" t="s">
        <v>25</v>
      </c>
      <c r="C51" s="11" t="s">
        <v>55</v>
      </c>
      <c r="D51" s="18"/>
      <c r="E51" s="55">
        <v>42332</v>
      </c>
      <c r="F51" s="55">
        <v>42333</v>
      </c>
      <c r="G51" s="57" t="s">
        <v>18</v>
      </c>
      <c r="H51" s="39"/>
      <c r="I51" s="39"/>
      <c r="J51" s="40"/>
      <c r="K51" s="107">
        <f>15+65</f>
        <v>80</v>
      </c>
      <c r="L51" s="40"/>
      <c r="M51" s="40"/>
      <c r="N51" s="40"/>
      <c r="O51" s="26">
        <f t="shared" si="3"/>
        <v>80</v>
      </c>
      <c r="P51" s="40"/>
      <c r="Q51" s="40"/>
      <c r="R51" s="26">
        <f>SUM(O51:P51:Q51)</f>
        <v>80</v>
      </c>
      <c r="S51" s="9"/>
    </row>
    <row r="52" spans="1:19" s="12" customFormat="1" ht="24" x14ac:dyDescent="0.2">
      <c r="A52" s="37" t="s">
        <v>133</v>
      </c>
      <c r="B52" s="18" t="s">
        <v>204</v>
      </c>
      <c r="C52" s="11" t="s">
        <v>55</v>
      </c>
      <c r="D52" s="18"/>
      <c r="E52" s="58">
        <v>42277</v>
      </c>
      <c r="F52" s="58">
        <v>42278</v>
      </c>
      <c r="G52" s="57" t="s">
        <v>22</v>
      </c>
      <c r="H52" s="37"/>
      <c r="I52" s="37"/>
      <c r="J52" s="105"/>
      <c r="K52" s="108">
        <v>11.5</v>
      </c>
      <c r="L52" s="105">
        <v>159</v>
      </c>
      <c r="M52" s="105"/>
      <c r="N52" s="48"/>
      <c r="O52" s="47">
        <f t="shared" si="3"/>
        <v>170.5</v>
      </c>
      <c r="P52" s="48"/>
      <c r="Q52" s="48"/>
      <c r="R52" s="47">
        <f t="shared" ref="R52:R58" si="4">SUM(O52:Q52)</f>
        <v>170.5</v>
      </c>
      <c r="S52" s="49"/>
    </row>
    <row r="53" spans="1:19" s="12" customFormat="1" ht="24" x14ac:dyDescent="0.2">
      <c r="A53" s="37" t="s">
        <v>133</v>
      </c>
      <c r="B53" s="18" t="s">
        <v>204</v>
      </c>
      <c r="C53" s="11" t="s">
        <v>186</v>
      </c>
      <c r="D53" s="18" t="s">
        <v>242</v>
      </c>
      <c r="E53" s="58">
        <v>42283</v>
      </c>
      <c r="F53" s="58">
        <v>42283</v>
      </c>
      <c r="G53" s="57" t="s">
        <v>18</v>
      </c>
      <c r="H53" s="37"/>
      <c r="I53" s="37"/>
      <c r="J53" s="48"/>
      <c r="K53" s="108">
        <v>12</v>
      </c>
      <c r="L53" s="48"/>
      <c r="M53" s="48"/>
      <c r="N53" s="48"/>
      <c r="O53" s="47">
        <f t="shared" si="3"/>
        <v>12</v>
      </c>
      <c r="P53" s="48"/>
      <c r="Q53" s="48"/>
      <c r="R53" s="47">
        <f t="shared" si="4"/>
        <v>12</v>
      </c>
      <c r="S53" s="49"/>
    </row>
    <row r="54" spans="1:19" s="9" customFormat="1" ht="24" x14ac:dyDescent="0.2">
      <c r="A54" s="37" t="s">
        <v>133</v>
      </c>
      <c r="B54" s="18" t="s">
        <v>204</v>
      </c>
      <c r="C54" s="11" t="s">
        <v>186</v>
      </c>
      <c r="D54" s="18" t="s">
        <v>241</v>
      </c>
      <c r="E54" s="55">
        <v>42297</v>
      </c>
      <c r="F54" s="55">
        <v>42297</v>
      </c>
      <c r="G54" s="57" t="s">
        <v>18</v>
      </c>
      <c r="H54" s="37"/>
      <c r="I54" s="37"/>
      <c r="J54" s="48"/>
      <c r="K54" s="108">
        <v>20.25</v>
      </c>
      <c r="L54" s="48"/>
      <c r="M54" s="48"/>
      <c r="N54" s="48"/>
      <c r="O54" s="47">
        <f t="shared" si="3"/>
        <v>20.25</v>
      </c>
      <c r="P54" s="48"/>
      <c r="Q54" s="48"/>
      <c r="R54" s="47">
        <f t="shared" si="4"/>
        <v>20.25</v>
      </c>
      <c r="S54" s="49"/>
    </row>
    <row r="55" spans="1:19" s="9" customFormat="1" ht="24" x14ac:dyDescent="0.2">
      <c r="A55" s="37" t="s">
        <v>133</v>
      </c>
      <c r="B55" s="18" t="s">
        <v>204</v>
      </c>
      <c r="C55" s="8" t="s">
        <v>186</v>
      </c>
      <c r="D55" s="13" t="s">
        <v>236</v>
      </c>
      <c r="E55" s="55">
        <v>42298</v>
      </c>
      <c r="F55" s="55">
        <v>42298</v>
      </c>
      <c r="G55" s="57" t="s">
        <v>18</v>
      </c>
      <c r="H55" s="37"/>
      <c r="I55" s="37"/>
      <c r="J55" s="48"/>
      <c r="K55" s="108">
        <v>14</v>
      </c>
      <c r="L55" s="48"/>
      <c r="M55" s="48"/>
      <c r="N55" s="48"/>
      <c r="O55" s="47">
        <f t="shared" si="3"/>
        <v>14</v>
      </c>
      <c r="P55" s="48"/>
      <c r="Q55" s="48"/>
      <c r="R55" s="47">
        <f t="shared" si="4"/>
        <v>14</v>
      </c>
      <c r="S55" s="49"/>
    </row>
    <row r="56" spans="1:19" s="9" customFormat="1" ht="24" x14ac:dyDescent="0.2">
      <c r="A56" s="37" t="s">
        <v>133</v>
      </c>
      <c r="B56" s="18" t="s">
        <v>204</v>
      </c>
      <c r="C56" s="8" t="s">
        <v>186</v>
      </c>
      <c r="D56" s="8" t="s">
        <v>243</v>
      </c>
      <c r="E56" s="55">
        <v>42305</v>
      </c>
      <c r="F56" s="55">
        <v>42305</v>
      </c>
      <c r="G56" s="57" t="s">
        <v>18</v>
      </c>
      <c r="H56" s="37"/>
      <c r="I56" s="37"/>
      <c r="J56" s="48"/>
      <c r="K56" s="108">
        <v>35</v>
      </c>
      <c r="L56" s="48"/>
      <c r="M56" s="48"/>
      <c r="N56" s="48"/>
      <c r="O56" s="47">
        <f t="shared" si="3"/>
        <v>35</v>
      </c>
      <c r="P56" s="48"/>
      <c r="Q56" s="48"/>
      <c r="R56" s="47">
        <f t="shared" si="4"/>
        <v>35</v>
      </c>
      <c r="S56" s="49"/>
    </row>
    <row r="57" spans="1:19" s="9" customFormat="1" ht="24" x14ac:dyDescent="0.2">
      <c r="A57" s="37" t="s">
        <v>133</v>
      </c>
      <c r="B57" s="18" t="s">
        <v>204</v>
      </c>
      <c r="C57" s="11" t="s">
        <v>186</v>
      </c>
      <c r="D57" s="18" t="s">
        <v>213</v>
      </c>
      <c r="E57" s="58">
        <v>42316</v>
      </c>
      <c r="F57" s="58">
        <v>42320</v>
      </c>
      <c r="G57" s="57" t="s">
        <v>214</v>
      </c>
      <c r="H57" s="37"/>
      <c r="I57" s="37"/>
      <c r="J57" s="105">
        <v>576.46</v>
      </c>
      <c r="K57" s="108">
        <f>56.35+55.2</f>
        <v>111.55000000000001</v>
      </c>
      <c r="L57" s="105">
        <v>1068.1400000000001</v>
      </c>
      <c r="M57" s="105">
        <f>7.14+14.99</f>
        <v>22.13</v>
      </c>
      <c r="N57" s="48"/>
      <c r="O57" s="47">
        <f t="shared" si="3"/>
        <v>1778.2800000000002</v>
      </c>
      <c r="P57" s="48"/>
      <c r="Q57" s="48"/>
      <c r="R57" s="47">
        <f t="shared" si="4"/>
        <v>1778.2800000000002</v>
      </c>
      <c r="S57" s="49"/>
    </row>
    <row r="58" spans="1:19" s="9" customFormat="1" ht="24" x14ac:dyDescent="0.2">
      <c r="A58" s="37" t="s">
        <v>133</v>
      </c>
      <c r="B58" s="18" t="s">
        <v>204</v>
      </c>
      <c r="C58" s="11" t="s">
        <v>190</v>
      </c>
      <c r="D58" s="20" t="s">
        <v>254</v>
      </c>
      <c r="E58" s="55">
        <v>42335</v>
      </c>
      <c r="F58" s="55">
        <v>42335</v>
      </c>
      <c r="G58" s="57" t="s">
        <v>18</v>
      </c>
      <c r="H58" s="37"/>
      <c r="I58" s="37"/>
      <c r="J58" s="48"/>
      <c r="K58" s="108">
        <v>5.88</v>
      </c>
      <c r="L58" s="48"/>
      <c r="M58" s="48"/>
      <c r="N58" s="48"/>
      <c r="O58" s="47">
        <f t="shared" ref="O58:O67" si="5">SUM(J58:N58)</f>
        <v>5.88</v>
      </c>
      <c r="P58" s="48"/>
      <c r="Q58" s="48"/>
      <c r="R58" s="47">
        <f t="shared" si="4"/>
        <v>5.88</v>
      </c>
      <c r="S58" s="49"/>
    </row>
    <row r="59" spans="1:19" s="12" customFormat="1" ht="12" x14ac:dyDescent="0.2">
      <c r="A59" s="37" t="s">
        <v>206</v>
      </c>
      <c r="B59" s="18" t="s">
        <v>25</v>
      </c>
      <c r="C59" s="11" t="s">
        <v>55</v>
      </c>
      <c r="D59" s="18"/>
      <c r="E59" s="58">
        <v>42277</v>
      </c>
      <c r="F59" s="58">
        <v>42278</v>
      </c>
      <c r="G59" s="57" t="s">
        <v>22</v>
      </c>
      <c r="H59" s="39"/>
      <c r="I59" s="39"/>
      <c r="J59" s="107"/>
      <c r="K59" s="107"/>
      <c r="L59" s="107">
        <v>159</v>
      </c>
      <c r="M59" s="107"/>
      <c r="N59" s="40"/>
      <c r="O59" s="26">
        <f t="shared" si="5"/>
        <v>159</v>
      </c>
      <c r="P59" s="40"/>
      <c r="Q59" s="40"/>
      <c r="R59" s="26">
        <f>SUM(O59:P59:Q59)</f>
        <v>159</v>
      </c>
      <c r="S59" s="9"/>
    </row>
    <row r="60" spans="1:19" s="12" customFormat="1" ht="12" x14ac:dyDescent="0.2">
      <c r="A60" s="37" t="s">
        <v>207</v>
      </c>
      <c r="B60" s="18" t="s">
        <v>25</v>
      </c>
      <c r="C60" s="11" t="s">
        <v>55</v>
      </c>
      <c r="D60" s="18"/>
      <c r="E60" s="58">
        <v>42277</v>
      </c>
      <c r="F60" s="58">
        <v>42278</v>
      </c>
      <c r="G60" s="57" t="s">
        <v>22</v>
      </c>
      <c r="H60" s="39"/>
      <c r="I60" s="39"/>
      <c r="J60" s="107"/>
      <c r="K60" s="107"/>
      <c r="L60" s="107">
        <v>159</v>
      </c>
      <c r="M60" s="107"/>
      <c r="N60" s="40"/>
      <c r="O60" s="26">
        <f t="shared" si="5"/>
        <v>159</v>
      </c>
      <c r="P60" s="40"/>
      <c r="Q60" s="40"/>
      <c r="R60" s="26">
        <f>SUM(O60:P60:Q60)</f>
        <v>159</v>
      </c>
      <c r="S60" s="9"/>
    </row>
    <row r="61" spans="1:19" s="12" customFormat="1" ht="12" x14ac:dyDescent="0.2">
      <c r="A61" s="37" t="s">
        <v>209</v>
      </c>
      <c r="B61" s="18" t="s">
        <v>25</v>
      </c>
      <c r="C61" s="11" t="s">
        <v>55</v>
      </c>
      <c r="D61" s="18"/>
      <c r="E61" s="58">
        <v>42277</v>
      </c>
      <c r="F61" s="58">
        <v>42278</v>
      </c>
      <c r="G61" s="57" t="s">
        <v>22</v>
      </c>
      <c r="H61" s="39"/>
      <c r="I61" s="39"/>
      <c r="J61" s="107">
        <v>436.25</v>
      </c>
      <c r="K61" s="107">
        <v>157.71</v>
      </c>
      <c r="L61" s="107">
        <v>159</v>
      </c>
      <c r="M61" s="107">
        <v>20</v>
      </c>
      <c r="N61" s="40"/>
      <c r="O61" s="26">
        <f t="shared" si="5"/>
        <v>772.96</v>
      </c>
      <c r="P61" s="40"/>
      <c r="Q61" s="40"/>
      <c r="R61" s="26">
        <f>SUM(O61:P61:Q61)</f>
        <v>772.96</v>
      </c>
      <c r="S61" s="9"/>
    </row>
    <row r="62" spans="1:19" s="12" customFormat="1" ht="12" x14ac:dyDescent="0.2">
      <c r="A62" s="37" t="s">
        <v>209</v>
      </c>
      <c r="B62" s="18" t="s">
        <v>25</v>
      </c>
      <c r="C62" s="11" t="s">
        <v>55</v>
      </c>
      <c r="D62" s="18"/>
      <c r="E62" s="55">
        <v>42332</v>
      </c>
      <c r="F62" s="55">
        <v>42333</v>
      </c>
      <c r="G62" s="57" t="s">
        <v>18</v>
      </c>
      <c r="H62" s="39"/>
      <c r="I62" s="39"/>
      <c r="J62" s="107">
        <v>537.25</v>
      </c>
      <c r="K62" s="107">
        <f>198.59</f>
        <v>198.59</v>
      </c>
      <c r="L62" s="107">
        <v>132.41999999999999</v>
      </c>
      <c r="M62" s="107">
        <v>8.49</v>
      </c>
      <c r="N62" s="40"/>
      <c r="O62" s="26">
        <f t="shared" si="5"/>
        <v>876.75</v>
      </c>
      <c r="P62" s="40"/>
      <c r="Q62" s="40"/>
      <c r="R62" s="26">
        <f>SUM(O62:P62:Q62)</f>
        <v>876.75</v>
      </c>
      <c r="S62" s="9"/>
    </row>
    <row r="63" spans="1:19" s="12" customFormat="1" ht="12" x14ac:dyDescent="0.2">
      <c r="A63" s="10" t="s">
        <v>38</v>
      </c>
      <c r="B63" s="13" t="s">
        <v>168</v>
      </c>
      <c r="C63" s="11" t="s">
        <v>55</v>
      </c>
      <c r="D63" s="18"/>
      <c r="E63" s="58">
        <v>42277</v>
      </c>
      <c r="F63" s="58">
        <v>42278</v>
      </c>
      <c r="G63" s="57" t="s">
        <v>22</v>
      </c>
      <c r="H63" s="27"/>
      <c r="I63" s="27"/>
      <c r="J63" s="28"/>
      <c r="K63" s="28"/>
      <c r="L63" s="104">
        <v>159</v>
      </c>
      <c r="M63" s="28"/>
      <c r="N63" s="28"/>
      <c r="O63" s="26">
        <f t="shared" si="5"/>
        <v>159</v>
      </c>
      <c r="P63" s="28"/>
      <c r="Q63" s="28"/>
      <c r="R63" s="26">
        <f>SUM(O63:Q63)</f>
        <v>159</v>
      </c>
      <c r="S63" s="9"/>
    </row>
    <row r="64" spans="1:19" s="9" customFormat="1" ht="24" x14ac:dyDescent="0.2">
      <c r="A64" s="10" t="s">
        <v>38</v>
      </c>
      <c r="B64" s="13" t="s">
        <v>168</v>
      </c>
      <c r="C64" s="8" t="s">
        <v>193</v>
      </c>
      <c r="D64" s="13" t="s">
        <v>237</v>
      </c>
      <c r="E64" s="55">
        <v>42292</v>
      </c>
      <c r="F64" s="55">
        <v>42292</v>
      </c>
      <c r="G64" s="13" t="s">
        <v>18</v>
      </c>
      <c r="H64" s="27"/>
      <c r="I64" s="74"/>
      <c r="J64" s="28"/>
      <c r="K64" s="104">
        <v>6</v>
      </c>
      <c r="L64" s="28"/>
      <c r="M64" s="28"/>
      <c r="N64" s="28"/>
      <c r="O64" s="26">
        <f t="shared" si="5"/>
        <v>6</v>
      </c>
      <c r="P64" s="28"/>
      <c r="Q64" s="28"/>
      <c r="R64" s="26">
        <f>SUM(O64:Q64)</f>
        <v>6</v>
      </c>
    </row>
    <row r="65" spans="1:19" s="12" customFormat="1" ht="24" x14ac:dyDescent="0.2">
      <c r="A65" s="10" t="s">
        <v>38</v>
      </c>
      <c r="B65" s="13" t="s">
        <v>168</v>
      </c>
      <c r="C65" s="8" t="s">
        <v>186</v>
      </c>
      <c r="D65" s="13" t="s">
        <v>236</v>
      </c>
      <c r="E65" s="55">
        <v>42298</v>
      </c>
      <c r="F65" s="55">
        <v>42298</v>
      </c>
      <c r="G65" s="13" t="s">
        <v>18</v>
      </c>
      <c r="H65" s="27"/>
      <c r="I65" s="74"/>
      <c r="J65" s="28"/>
      <c r="K65" s="104">
        <v>14</v>
      </c>
      <c r="L65" s="28"/>
      <c r="M65" s="28"/>
      <c r="N65" s="28"/>
      <c r="O65" s="26">
        <f t="shared" si="5"/>
        <v>14</v>
      </c>
      <c r="P65" s="28"/>
      <c r="Q65" s="28"/>
      <c r="R65" s="26">
        <f>SUM(O65:Q65)</f>
        <v>14</v>
      </c>
      <c r="S65" s="9"/>
    </row>
    <row r="66" spans="1:19" s="9" customFormat="1" ht="12" x14ac:dyDescent="0.2">
      <c r="A66" s="10" t="s">
        <v>38</v>
      </c>
      <c r="B66" s="13" t="s">
        <v>168</v>
      </c>
      <c r="C66" s="8" t="s">
        <v>72</v>
      </c>
      <c r="D66" s="13" t="s">
        <v>263</v>
      </c>
      <c r="E66" s="55">
        <v>42313</v>
      </c>
      <c r="F66" s="55">
        <v>42313</v>
      </c>
      <c r="G66" s="13" t="s">
        <v>47</v>
      </c>
      <c r="H66" s="27"/>
      <c r="I66" s="74"/>
      <c r="J66" s="104">
        <v>517.25</v>
      </c>
      <c r="K66" s="104">
        <v>153</v>
      </c>
      <c r="L66" s="28"/>
      <c r="M66" s="28"/>
      <c r="N66" s="28"/>
      <c r="O66" s="26">
        <f t="shared" si="5"/>
        <v>670.25</v>
      </c>
      <c r="P66" s="28"/>
      <c r="Q66" s="28"/>
      <c r="R66" s="26">
        <f>SUM(O66:Q66)</f>
        <v>670.25</v>
      </c>
    </row>
    <row r="67" spans="1:19" s="9" customFormat="1" ht="12" x14ac:dyDescent="0.2">
      <c r="A67" s="7" t="s">
        <v>234</v>
      </c>
      <c r="B67" s="8" t="s">
        <v>25</v>
      </c>
      <c r="C67" s="11" t="s">
        <v>55</v>
      </c>
      <c r="D67" s="20"/>
      <c r="E67" s="55">
        <v>42332</v>
      </c>
      <c r="F67" s="55">
        <v>42333</v>
      </c>
      <c r="G67" s="10" t="s">
        <v>18</v>
      </c>
      <c r="H67" s="27"/>
      <c r="I67" s="74"/>
      <c r="J67" s="27"/>
      <c r="K67" s="104">
        <v>29</v>
      </c>
      <c r="L67" s="106">
        <v>132.41999999999999</v>
      </c>
      <c r="M67" s="27"/>
      <c r="N67" s="27"/>
      <c r="O67" s="26">
        <f t="shared" si="5"/>
        <v>161.41999999999999</v>
      </c>
      <c r="P67" s="27"/>
      <c r="Q67" s="27"/>
      <c r="R67" s="26">
        <f>SUM(O67:Q67)</f>
        <v>161.41999999999999</v>
      </c>
      <c r="S67" s="12"/>
    </row>
  </sheetData>
  <autoFilter ref="A1:S67" xr:uid="{00000000-0009-0000-0000-000010000000}"/>
  <sortState xmlns:xlrd2="http://schemas.microsoft.com/office/spreadsheetml/2017/richdata2"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topLeftCell="A13" zoomScaleNormal="100" workbookViewId="0">
      <selection activeCell="B1" sqref="A1:XFD1"/>
    </sheetView>
  </sheetViews>
  <sheetFormatPr defaultRowHeight="14.25" x14ac:dyDescent="0.2"/>
  <cols>
    <col min="1" max="1" width="16" bestFit="1" customWidth="1"/>
    <col min="2" max="2" width="27.75" customWidth="1"/>
    <col min="3" max="3" width="38.25" customWidth="1"/>
    <col min="4" max="4" width="30.875" bestFit="1" customWidth="1"/>
    <col min="7" max="7" width="25.75" customWidth="1"/>
    <col min="9" max="9" width="8.75" customWidth="1"/>
    <col min="12" max="12" width="9" style="116"/>
  </cols>
  <sheetData>
    <row r="1" spans="1:20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0" s="49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42452</v>
      </c>
      <c r="F2" s="55">
        <v>42453</v>
      </c>
      <c r="G2" s="13" t="s">
        <v>18</v>
      </c>
      <c r="H2" s="27"/>
      <c r="I2" s="74"/>
      <c r="J2" s="27"/>
      <c r="K2" s="28">
        <v>35</v>
      </c>
      <c r="L2" s="113">
        <v>142.69999999999999</v>
      </c>
      <c r="M2" s="27"/>
      <c r="N2" s="27"/>
      <c r="O2" s="26">
        <f t="shared" ref="O2:O11" si="0">SUM(J2:N2)</f>
        <v>177.7</v>
      </c>
      <c r="P2" s="27"/>
      <c r="Q2" s="27"/>
      <c r="R2" s="26">
        <f t="shared" ref="R2:R11" si="1">SUM(O2:Q2)</f>
        <v>177.7</v>
      </c>
      <c r="S2" s="12"/>
    </row>
    <row r="3" spans="1:20" s="12" customFormat="1" ht="12" x14ac:dyDescent="0.2">
      <c r="A3" s="10" t="s">
        <v>20</v>
      </c>
      <c r="B3" s="10" t="s">
        <v>21</v>
      </c>
      <c r="C3" s="11" t="s">
        <v>240</v>
      </c>
      <c r="D3" s="8" t="s">
        <v>268</v>
      </c>
      <c r="E3" s="55">
        <v>42339</v>
      </c>
      <c r="F3" s="55">
        <v>42339</v>
      </c>
      <c r="G3" s="10" t="s">
        <v>18</v>
      </c>
      <c r="H3" s="74"/>
      <c r="I3" s="102"/>
      <c r="J3" s="27"/>
      <c r="K3" s="28">
        <v>11.25</v>
      </c>
      <c r="L3" s="113"/>
      <c r="M3" s="27"/>
      <c r="N3" s="27"/>
      <c r="O3" s="26">
        <f t="shared" si="0"/>
        <v>11.25</v>
      </c>
      <c r="P3" s="27"/>
      <c r="Q3" s="27"/>
      <c r="R3" s="26">
        <f t="shared" si="1"/>
        <v>11.25</v>
      </c>
    </row>
    <row r="4" spans="1:20" s="12" customFormat="1" ht="36" x14ac:dyDescent="0.2">
      <c r="A4" s="10" t="s">
        <v>20</v>
      </c>
      <c r="B4" s="10" t="s">
        <v>21</v>
      </c>
      <c r="C4" s="11" t="s">
        <v>186</v>
      </c>
      <c r="D4" s="8" t="s">
        <v>269</v>
      </c>
      <c r="E4" s="55">
        <v>42346</v>
      </c>
      <c r="F4" s="55">
        <v>42346</v>
      </c>
      <c r="G4" s="10" t="s">
        <v>18</v>
      </c>
      <c r="H4" s="74"/>
      <c r="I4" s="102"/>
      <c r="J4" s="27"/>
      <c r="K4" s="28">
        <v>16</v>
      </c>
      <c r="L4" s="113"/>
      <c r="M4" s="27"/>
      <c r="N4" s="27"/>
      <c r="O4" s="26">
        <f t="shared" si="0"/>
        <v>16</v>
      </c>
      <c r="P4" s="27"/>
      <c r="Q4" s="27"/>
      <c r="R4" s="26">
        <f t="shared" si="1"/>
        <v>16</v>
      </c>
    </row>
    <row r="5" spans="1:20" s="12" customFormat="1" ht="12" x14ac:dyDescent="0.2">
      <c r="A5" s="10" t="s">
        <v>20</v>
      </c>
      <c r="B5" s="10" t="s">
        <v>21</v>
      </c>
      <c r="C5" s="18" t="s">
        <v>299</v>
      </c>
      <c r="D5" s="8"/>
      <c r="E5" s="55">
        <v>42381</v>
      </c>
      <c r="F5" s="55">
        <v>42381</v>
      </c>
      <c r="G5" s="10" t="s">
        <v>18</v>
      </c>
      <c r="H5" s="74"/>
      <c r="I5" s="102"/>
      <c r="J5" s="27"/>
      <c r="K5" s="28">
        <v>14.75</v>
      </c>
      <c r="L5" s="113"/>
      <c r="M5" s="27"/>
      <c r="N5" s="27"/>
      <c r="O5" s="26">
        <f t="shared" si="0"/>
        <v>14.75</v>
      </c>
      <c r="P5" s="27"/>
      <c r="Q5" s="27"/>
      <c r="R5" s="26">
        <f t="shared" si="1"/>
        <v>14.75</v>
      </c>
    </row>
    <row r="6" spans="1:20" s="12" customFormat="1" ht="12" x14ac:dyDescent="0.2">
      <c r="A6" s="10" t="s">
        <v>20</v>
      </c>
      <c r="B6" s="10" t="s">
        <v>21</v>
      </c>
      <c r="C6" s="8" t="s">
        <v>201</v>
      </c>
      <c r="D6" s="8" t="s">
        <v>272</v>
      </c>
      <c r="E6" s="55">
        <v>42390</v>
      </c>
      <c r="F6" s="55">
        <v>42390</v>
      </c>
      <c r="G6" s="10" t="s">
        <v>18</v>
      </c>
      <c r="H6" s="74"/>
      <c r="I6" s="102"/>
      <c r="J6" s="27"/>
      <c r="K6" s="28">
        <f>14.5+11.25</f>
        <v>25.75</v>
      </c>
      <c r="L6" s="113"/>
      <c r="M6" s="27"/>
      <c r="N6" s="27"/>
      <c r="O6" s="26">
        <f t="shared" si="0"/>
        <v>25.75</v>
      </c>
      <c r="P6" s="27"/>
      <c r="Q6" s="27"/>
      <c r="R6" s="26">
        <f t="shared" si="1"/>
        <v>25.75</v>
      </c>
    </row>
    <row r="7" spans="1:20" s="12" customFormat="1" ht="24" x14ac:dyDescent="0.2">
      <c r="A7" s="10" t="s">
        <v>20</v>
      </c>
      <c r="B7" s="10" t="s">
        <v>21</v>
      </c>
      <c r="C7" s="11" t="s">
        <v>107</v>
      </c>
      <c r="D7" s="8" t="s">
        <v>270</v>
      </c>
      <c r="E7" s="55">
        <v>42394</v>
      </c>
      <c r="F7" s="55">
        <v>42030</v>
      </c>
      <c r="G7" s="10" t="s">
        <v>271</v>
      </c>
      <c r="H7" s="74"/>
      <c r="I7" s="102"/>
      <c r="J7" s="27">
        <f>299.44+30</f>
        <v>329.44</v>
      </c>
      <c r="K7" s="28">
        <v>66.7</v>
      </c>
      <c r="L7" s="113">
        <v>216.57</v>
      </c>
      <c r="M7" s="27"/>
      <c r="N7" s="27"/>
      <c r="O7" s="26">
        <f t="shared" si="0"/>
        <v>612.71</v>
      </c>
      <c r="P7" s="27"/>
      <c r="Q7" s="27"/>
      <c r="R7" s="26">
        <f t="shared" si="1"/>
        <v>612.71</v>
      </c>
    </row>
    <row r="8" spans="1:20" s="12" customFormat="1" ht="12" x14ac:dyDescent="0.2">
      <c r="A8" s="10" t="s">
        <v>20</v>
      </c>
      <c r="B8" s="10" t="s">
        <v>21</v>
      </c>
      <c r="C8" s="11" t="s">
        <v>240</v>
      </c>
      <c r="D8" s="8" t="s">
        <v>273</v>
      </c>
      <c r="E8" s="55">
        <v>42398</v>
      </c>
      <c r="F8" s="55">
        <v>42398</v>
      </c>
      <c r="G8" s="10" t="s">
        <v>18</v>
      </c>
      <c r="H8" s="74"/>
      <c r="I8" s="102"/>
      <c r="J8" s="27"/>
      <c r="K8" s="28">
        <v>20</v>
      </c>
      <c r="L8" s="113"/>
      <c r="M8" s="27"/>
      <c r="N8" s="27"/>
      <c r="O8" s="26">
        <f t="shared" si="0"/>
        <v>20</v>
      </c>
      <c r="P8" s="27"/>
      <c r="Q8" s="27"/>
      <c r="R8" s="26">
        <f t="shared" si="1"/>
        <v>20</v>
      </c>
    </row>
    <row r="9" spans="1:20" s="12" customFormat="1" ht="24" x14ac:dyDescent="0.2">
      <c r="A9" s="10" t="s">
        <v>20</v>
      </c>
      <c r="B9" s="10" t="s">
        <v>21</v>
      </c>
      <c r="C9" s="11" t="s">
        <v>240</v>
      </c>
      <c r="D9" s="8" t="s">
        <v>275</v>
      </c>
      <c r="E9" s="55">
        <v>42412</v>
      </c>
      <c r="F9" s="55">
        <v>42412</v>
      </c>
      <c r="G9" s="10" t="s">
        <v>18</v>
      </c>
      <c r="H9" s="74"/>
      <c r="I9" s="102"/>
      <c r="J9" s="27"/>
      <c r="K9" s="28">
        <v>10.62</v>
      </c>
      <c r="L9" s="113"/>
      <c r="M9" s="27"/>
      <c r="N9" s="27"/>
      <c r="O9" s="26">
        <f t="shared" si="0"/>
        <v>10.62</v>
      </c>
      <c r="P9" s="27"/>
      <c r="Q9" s="27"/>
      <c r="R9" s="26">
        <f t="shared" si="1"/>
        <v>10.62</v>
      </c>
    </row>
    <row r="10" spans="1:20" s="12" customFormat="1" ht="24" x14ac:dyDescent="0.2">
      <c r="A10" s="10" t="s">
        <v>20</v>
      </c>
      <c r="B10" s="10" t="s">
        <v>21</v>
      </c>
      <c r="C10" s="8" t="s">
        <v>201</v>
      </c>
      <c r="D10" s="8" t="s">
        <v>274</v>
      </c>
      <c r="E10" s="55">
        <v>42423</v>
      </c>
      <c r="F10" s="55">
        <v>42423</v>
      </c>
      <c r="G10" s="10" t="s">
        <v>135</v>
      </c>
      <c r="H10" s="74"/>
      <c r="I10" s="102"/>
      <c r="J10" s="27">
        <v>247.75</v>
      </c>
      <c r="K10" s="28">
        <f>46+47+12</f>
        <v>105</v>
      </c>
      <c r="L10" s="113"/>
      <c r="M10" s="27"/>
      <c r="N10" s="27"/>
      <c r="O10" s="26">
        <f t="shared" si="0"/>
        <v>352.75</v>
      </c>
      <c r="P10" s="27"/>
      <c r="Q10" s="27"/>
      <c r="R10" s="26">
        <f t="shared" si="1"/>
        <v>352.75</v>
      </c>
      <c r="T10" s="117"/>
    </row>
    <row r="11" spans="1:20" s="12" customFormat="1" ht="12" x14ac:dyDescent="0.2">
      <c r="A11" s="10" t="s">
        <v>20</v>
      </c>
      <c r="B11" s="10" t="s">
        <v>21</v>
      </c>
      <c r="C11" s="8" t="s">
        <v>172</v>
      </c>
      <c r="D11" s="8" t="s">
        <v>219</v>
      </c>
      <c r="E11" s="55">
        <v>42424</v>
      </c>
      <c r="F11" s="55">
        <v>42424</v>
      </c>
      <c r="G11" s="10" t="s">
        <v>18</v>
      </c>
      <c r="H11" s="74"/>
      <c r="I11" s="102"/>
      <c r="J11" s="27"/>
      <c r="K11" s="28">
        <v>7.5</v>
      </c>
      <c r="L11" s="113"/>
      <c r="M11" s="27"/>
      <c r="N11" s="27"/>
      <c r="O11" s="26">
        <f t="shared" si="0"/>
        <v>7.5</v>
      </c>
      <c r="P11" s="27"/>
      <c r="Q11" s="27"/>
      <c r="R11" s="26">
        <f t="shared" si="1"/>
        <v>7.5</v>
      </c>
    </row>
    <row r="12" spans="1:20" s="12" customFormat="1" ht="24" x14ac:dyDescent="0.2">
      <c r="A12" s="10" t="s">
        <v>20</v>
      </c>
      <c r="B12" s="10" t="s">
        <v>21</v>
      </c>
      <c r="C12" s="8" t="s">
        <v>300</v>
      </c>
      <c r="D12" s="8" t="s">
        <v>276</v>
      </c>
      <c r="E12" s="55">
        <v>42436</v>
      </c>
      <c r="F12" s="55">
        <v>42437</v>
      </c>
      <c r="G12" s="10" t="s">
        <v>47</v>
      </c>
      <c r="H12" s="74"/>
      <c r="I12" s="102"/>
      <c r="J12" s="27">
        <f>313.25+84.75</f>
        <v>398</v>
      </c>
      <c r="K12" s="27">
        <v>130.44999999999999</v>
      </c>
      <c r="L12" s="113"/>
      <c r="M12" s="27">
        <v>11.29</v>
      </c>
      <c r="N12" s="27"/>
      <c r="O12" s="26">
        <f>SUM(J12:N12)</f>
        <v>539.74</v>
      </c>
      <c r="P12" s="27"/>
      <c r="Q12" s="27"/>
      <c r="R12" s="26">
        <f>SUM(O12:Q12)</f>
        <v>539.74</v>
      </c>
    </row>
    <row r="13" spans="1:20" s="12" customFormat="1" ht="12" x14ac:dyDescent="0.2">
      <c r="A13" s="10" t="s">
        <v>20</v>
      </c>
      <c r="B13" s="10" t="s">
        <v>21</v>
      </c>
      <c r="C13" s="8" t="s">
        <v>186</v>
      </c>
      <c r="D13" s="8" t="s">
        <v>292</v>
      </c>
      <c r="E13" s="55">
        <v>42464</v>
      </c>
      <c r="F13" s="55" t="s">
        <v>293</v>
      </c>
      <c r="G13" s="10" t="s">
        <v>304</v>
      </c>
      <c r="H13" s="74"/>
      <c r="I13" s="102"/>
      <c r="J13" s="27">
        <f>293.12+20+666.12</f>
        <v>979.24</v>
      </c>
      <c r="K13" s="28"/>
      <c r="L13" s="113"/>
      <c r="M13" s="27"/>
      <c r="N13" s="27"/>
      <c r="O13" s="26">
        <f>SUM(J13:N13)</f>
        <v>979.24</v>
      </c>
      <c r="P13" s="27"/>
      <c r="Q13" s="27"/>
      <c r="R13" s="26">
        <f>SUM(O13:Q13)</f>
        <v>979.24</v>
      </c>
      <c r="T13" s="117"/>
    </row>
    <row r="14" spans="1:20" s="9" customFormat="1" ht="12" x14ac:dyDescent="0.2">
      <c r="A14" s="7" t="s">
        <v>211</v>
      </c>
      <c r="B14" s="14" t="s">
        <v>212</v>
      </c>
      <c r="C14" s="8" t="s">
        <v>302</v>
      </c>
      <c r="D14" s="11" t="s">
        <v>297</v>
      </c>
      <c r="E14" s="120">
        <v>42343</v>
      </c>
      <c r="F14" s="120">
        <v>42343</v>
      </c>
      <c r="G14" s="121" t="s">
        <v>18</v>
      </c>
      <c r="H14" s="52"/>
      <c r="I14" s="74"/>
      <c r="J14" s="28"/>
      <c r="K14" s="46">
        <v>16</v>
      </c>
      <c r="L14" s="113"/>
      <c r="M14" s="28"/>
      <c r="N14" s="28"/>
      <c r="O14" s="26">
        <f t="shared" ref="O14:O30" si="2">SUM(J14:N14)</f>
        <v>16</v>
      </c>
      <c r="P14" s="28"/>
      <c r="Q14" s="28"/>
      <c r="R14" s="26">
        <f t="shared" ref="R14:R29" si="3">SUM(O14:Q14)</f>
        <v>16</v>
      </c>
      <c r="S14" s="12"/>
    </row>
    <row r="15" spans="1:20" s="9" customFormat="1" ht="12" x14ac:dyDescent="0.2">
      <c r="A15" s="7" t="s">
        <v>211</v>
      </c>
      <c r="B15" s="14" t="s">
        <v>212</v>
      </c>
      <c r="C15" s="8" t="s">
        <v>302</v>
      </c>
      <c r="D15" s="11" t="s">
        <v>297</v>
      </c>
      <c r="E15" s="120">
        <v>42349</v>
      </c>
      <c r="F15" s="120">
        <v>42349</v>
      </c>
      <c r="G15" s="121" t="s">
        <v>18</v>
      </c>
      <c r="H15" s="52"/>
      <c r="I15" s="74"/>
      <c r="J15" s="28"/>
      <c r="K15" s="46">
        <f>16+14</f>
        <v>30</v>
      </c>
      <c r="L15" s="113"/>
      <c r="M15" s="28"/>
      <c r="N15" s="28"/>
      <c r="O15" s="26">
        <f>SUM(J15:N15)</f>
        <v>30</v>
      </c>
      <c r="P15" s="28"/>
      <c r="Q15" s="28"/>
      <c r="R15" s="26">
        <f>SUM(O15:Q15)</f>
        <v>30</v>
      </c>
      <c r="S15" s="12"/>
    </row>
    <row r="16" spans="1:20" s="9" customFormat="1" ht="24" x14ac:dyDescent="0.2">
      <c r="A16" s="7" t="s">
        <v>248</v>
      </c>
      <c r="B16" s="14" t="s">
        <v>249</v>
      </c>
      <c r="C16" s="8" t="s">
        <v>262</v>
      </c>
      <c r="D16" s="20"/>
      <c r="E16" s="55">
        <v>42310</v>
      </c>
      <c r="F16" s="55">
        <v>42312</v>
      </c>
      <c r="G16" s="57" t="s">
        <v>18</v>
      </c>
      <c r="H16" s="7"/>
      <c r="I16" s="7"/>
      <c r="J16" s="46"/>
      <c r="K16" s="46">
        <v>87.55</v>
      </c>
      <c r="L16" s="114"/>
      <c r="M16" s="46">
        <v>26.32</v>
      </c>
      <c r="N16" s="46"/>
      <c r="O16" s="47">
        <f t="shared" si="2"/>
        <v>113.87</v>
      </c>
      <c r="P16" s="46"/>
      <c r="Q16" s="46"/>
      <c r="R16" s="47">
        <f t="shared" si="3"/>
        <v>113.87</v>
      </c>
    </row>
    <row r="17" spans="1:21" s="9" customFormat="1" ht="36" x14ac:dyDescent="0.2">
      <c r="A17" s="7" t="s">
        <v>248</v>
      </c>
      <c r="B17" s="14" t="s">
        <v>249</v>
      </c>
      <c r="C17" s="8" t="s">
        <v>72</v>
      </c>
      <c r="D17" s="13" t="s">
        <v>238</v>
      </c>
      <c r="E17" s="55">
        <v>42314</v>
      </c>
      <c r="F17" s="55">
        <v>42322</v>
      </c>
      <c r="G17" s="13" t="s">
        <v>306</v>
      </c>
      <c r="H17" s="7"/>
      <c r="I17" s="7"/>
      <c r="J17" s="123">
        <f>219.12+475.24+791.25+197.12+358.92</f>
        <v>2041.65</v>
      </c>
      <c r="K17" s="123">
        <f>38+70.9+162.3+46+179+17.95+92.75+18+13.8+19</f>
        <v>657.7</v>
      </c>
      <c r="L17" s="123">
        <f>101+149</f>
        <v>250</v>
      </c>
      <c r="M17" s="123">
        <f>6.25+22.79+13.85+40.67+22.75+37.62+24.17+25.81+20.21</f>
        <v>214.12000000000003</v>
      </c>
      <c r="N17" s="46"/>
      <c r="O17" s="47">
        <f t="shared" si="2"/>
        <v>3163.4700000000003</v>
      </c>
      <c r="P17" s="46"/>
      <c r="Q17" s="46"/>
      <c r="R17" s="47">
        <f t="shared" si="3"/>
        <v>3163.4700000000003</v>
      </c>
      <c r="T17" s="118"/>
      <c r="U17" s="118"/>
    </row>
    <row r="18" spans="1:21" s="9" customFormat="1" ht="24" x14ac:dyDescent="0.2">
      <c r="A18" s="7" t="s">
        <v>248</v>
      </c>
      <c r="B18" s="14" t="s">
        <v>249</v>
      </c>
      <c r="C18" s="8" t="s">
        <v>262</v>
      </c>
      <c r="D18" s="20"/>
      <c r="E18" s="55">
        <v>42322</v>
      </c>
      <c r="F18" s="55">
        <v>42327</v>
      </c>
      <c r="G18" s="57" t="s">
        <v>18</v>
      </c>
      <c r="H18" s="7"/>
      <c r="I18" s="7"/>
      <c r="J18" s="46"/>
      <c r="K18" s="46">
        <f>128.35+730.95+51</f>
        <v>910.30000000000007</v>
      </c>
      <c r="L18" s="114"/>
      <c r="M18" s="46">
        <f>97.86+319.28</f>
        <v>417.14</v>
      </c>
      <c r="N18" s="46"/>
      <c r="O18" s="47">
        <f t="shared" si="2"/>
        <v>1327.44</v>
      </c>
      <c r="P18" s="46"/>
      <c r="Q18" s="46"/>
      <c r="R18" s="47">
        <f t="shared" si="3"/>
        <v>1327.44</v>
      </c>
    </row>
    <row r="19" spans="1:21" s="9" customFormat="1" ht="24" x14ac:dyDescent="0.2">
      <c r="A19" s="7" t="s">
        <v>248</v>
      </c>
      <c r="B19" s="14" t="s">
        <v>249</v>
      </c>
      <c r="C19" s="8" t="s">
        <v>262</v>
      </c>
      <c r="D19" s="8"/>
      <c r="E19" s="55">
        <v>42345</v>
      </c>
      <c r="F19" s="55">
        <v>42349</v>
      </c>
      <c r="G19" s="57" t="s">
        <v>18</v>
      </c>
      <c r="H19" s="7"/>
      <c r="I19" s="7"/>
      <c r="J19" s="46"/>
      <c r="K19" s="46"/>
      <c r="L19" s="114">
        <v>550.24</v>
      </c>
      <c r="M19" s="46">
        <v>22.75</v>
      </c>
      <c r="N19" s="46"/>
      <c r="O19" s="47">
        <f>SUM(J19:N19)</f>
        <v>572.99</v>
      </c>
      <c r="P19" s="46"/>
      <c r="Q19" s="46"/>
      <c r="R19" s="47">
        <f>SUM(O19:Q19)</f>
        <v>572.99</v>
      </c>
      <c r="T19" s="118" t="s">
        <v>266</v>
      </c>
    </row>
    <row r="20" spans="1:21" s="9" customFormat="1" ht="24" x14ac:dyDescent="0.2">
      <c r="A20" s="7" t="s">
        <v>248</v>
      </c>
      <c r="B20" s="14" t="s">
        <v>249</v>
      </c>
      <c r="C20" s="8" t="s">
        <v>262</v>
      </c>
      <c r="D20" s="8"/>
      <c r="E20" s="55">
        <v>42354</v>
      </c>
      <c r="F20" s="55">
        <v>42356</v>
      </c>
      <c r="G20" s="57" t="s">
        <v>18</v>
      </c>
      <c r="H20" s="7"/>
      <c r="I20" s="7"/>
      <c r="J20" s="46"/>
      <c r="K20" s="46"/>
      <c r="L20" s="114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3"/>
        <v>275.12</v>
      </c>
    </row>
    <row r="21" spans="1:21" s="9" customFormat="1" ht="24" x14ac:dyDescent="0.2">
      <c r="A21" s="7" t="s">
        <v>248</v>
      </c>
      <c r="B21" s="14" t="s">
        <v>249</v>
      </c>
      <c r="C21" s="8" t="s">
        <v>262</v>
      </c>
      <c r="D21" s="8"/>
      <c r="E21" s="55">
        <v>42358</v>
      </c>
      <c r="F21" s="55">
        <v>42359</v>
      </c>
      <c r="G21" s="57" t="s">
        <v>18</v>
      </c>
      <c r="H21" s="7"/>
      <c r="I21" s="7"/>
      <c r="J21" s="46"/>
      <c r="K21" s="46"/>
      <c r="L21" s="114">
        <v>111.9</v>
      </c>
      <c r="M21" s="46"/>
      <c r="N21" s="46"/>
      <c r="O21" s="47">
        <f t="shared" si="2"/>
        <v>111.9</v>
      </c>
      <c r="P21" s="46"/>
      <c r="Q21" s="46"/>
      <c r="R21" s="47">
        <f t="shared" si="3"/>
        <v>111.9</v>
      </c>
    </row>
    <row r="22" spans="1:21" s="9" customFormat="1" ht="24" x14ac:dyDescent="0.2">
      <c r="A22" s="7" t="s">
        <v>248</v>
      </c>
      <c r="B22" s="14" t="s">
        <v>249</v>
      </c>
      <c r="C22" s="8" t="s">
        <v>72</v>
      </c>
      <c r="D22" s="13" t="s">
        <v>238</v>
      </c>
      <c r="E22" s="55">
        <v>42426</v>
      </c>
      <c r="F22" s="55">
        <v>42427</v>
      </c>
      <c r="G22" s="13" t="s">
        <v>118</v>
      </c>
      <c r="H22" s="7"/>
      <c r="I22" s="7"/>
      <c r="J22" s="46">
        <f>137.12+161.12</f>
        <v>298.24</v>
      </c>
      <c r="K22" s="46">
        <f>27.5+55+41.55</f>
        <v>124.05</v>
      </c>
      <c r="L22" s="119">
        <v>124</v>
      </c>
      <c r="M22" s="46"/>
      <c r="N22" s="46"/>
      <c r="O22" s="47">
        <f t="shared" si="2"/>
        <v>546.29</v>
      </c>
      <c r="P22" s="46"/>
      <c r="Q22" s="46"/>
      <c r="R22" s="47">
        <f t="shared" si="3"/>
        <v>546.29</v>
      </c>
      <c r="T22" s="118"/>
    </row>
    <row r="23" spans="1:21" s="9" customFormat="1" ht="24" x14ac:dyDescent="0.2">
      <c r="A23" s="7" t="s">
        <v>248</v>
      </c>
      <c r="B23" s="14" t="s">
        <v>249</v>
      </c>
      <c r="C23" s="8" t="s">
        <v>72</v>
      </c>
      <c r="D23" s="13" t="s">
        <v>238</v>
      </c>
      <c r="E23" s="55">
        <v>42431</v>
      </c>
      <c r="F23" s="55">
        <v>42434</v>
      </c>
      <c r="G23" s="13" t="s">
        <v>307</v>
      </c>
      <c r="H23" s="7"/>
      <c r="I23" s="7"/>
      <c r="J23" s="123">
        <v>921.74</v>
      </c>
      <c r="K23" s="123">
        <v>363.96</v>
      </c>
      <c r="L23" s="123">
        <f>109.13+139</f>
        <v>248.13</v>
      </c>
      <c r="M23" s="123">
        <v>32.69</v>
      </c>
      <c r="N23" s="46"/>
      <c r="O23" s="47">
        <f t="shared" si="2"/>
        <v>1566.52</v>
      </c>
      <c r="P23" s="46"/>
      <c r="Q23" s="46"/>
      <c r="R23" s="47">
        <f t="shared" si="3"/>
        <v>1566.52</v>
      </c>
      <c r="T23" s="118"/>
    </row>
    <row r="24" spans="1:21" s="9" customFormat="1" ht="24" x14ac:dyDescent="0.2">
      <c r="A24" s="7" t="s">
        <v>248</v>
      </c>
      <c r="B24" s="14" t="s">
        <v>249</v>
      </c>
      <c r="C24" s="8" t="s">
        <v>72</v>
      </c>
      <c r="D24" s="13" t="s">
        <v>238</v>
      </c>
      <c r="E24" s="55">
        <v>42436</v>
      </c>
      <c r="F24" s="55">
        <v>42438</v>
      </c>
      <c r="G24" s="13" t="s">
        <v>309</v>
      </c>
      <c r="H24" s="7"/>
      <c r="I24" s="7"/>
      <c r="J24" s="123">
        <v>111.12</v>
      </c>
      <c r="K24" s="123">
        <v>270.12</v>
      </c>
      <c r="L24" s="122"/>
      <c r="M24" s="123"/>
      <c r="N24" s="46"/>
      <c r="O24" s="47">
        <f>SUM(J24:N24)</f>
        <v>381.24</v>
      </c>
      <c r="P24" s="46"/>
      <c r="Q24" s="46"/>
      <c r="R24" s="47">
        <f>SUM(O24:Q24)</f>
        <v>381.24</v>
      </c>
      <c r="T24" s="118"/>
    </row>
    <row r="25" spans="1:21" s="9" customFormat="1" ht="24" x14ac:dyDescent="0.2">
      <c r="A25" s="7" t="s">
        <v>248</v>
      </c>
      <c r="B25" s="14" t="s">
        <v>249</v>
      </c>
      <c r="C25" s="8" t="s">
        <v>288</v>
      </c>
      <c r="D25" s="20" t="s">
        <v>290</v>
      </c>
      <c r="E25" s="55">
        <v>42490</v>
      </c>
      <c r="F25" s="55">
        <v>42494</v>
      </c>
      <c r="G25" s="57" t="s">
        <v>291</v>
      </c>
      <c r="H25" s="7"/>
      <c r="I25" s="7"/>
      <c r="J25" s="46">
        <v>553.65</v>
      </c>
      <c r="K25" s="46"/>
      <c r="L25" s="114"/>
      <c r="M25" s="46"/>
      <c r="N25" s="46"/>
      <c r="O25" s="47">
        <f t="shared" si="2"/>
        <v>553.65</v>
      </c>
      <c r="P25" s="46"/>
      <c r="Q25" s="46"/>
      <c r="R25" s="47">
        <f t="shared" si="3"/>
        <v>553.65</v>
      </c>
      <c r="S25" s="111"/>
    </row>
    <row r="26" spans="1:21" s="9" customFormat="1" ht="24" x14ac:dyDescent="0.2">
      <c r="A26" s="7" t="s">
        <v>248</v>
      </c>
      <c r="B26" s="14" t="s">
        <v>249</v>
      </c>
      <c r="C26" s="11" t="s">
        <v>305</v>
      </c>
      <c r="D26" s="20"/>
      <c r="E26" s="55">
        <v>42698</v>
      </c>
      <c r="F26" s="55">
        <v>42334</v>
      </c>
      <c r="G26" s="13" t="s">
        <v>18</v>
      </c>
      <c r="H26" s="7"/>
      <c r="I26" s="7"/>
      <c r="J26" s="46"/>
      <c r="K26" s="46">
        <f>108+128.35</f>
        <v>236.35</v>
      </c>
      <c r="L26" s="114"/>
      <c r="M26" s="46">
        <f>51.25+30.5</f>
        <v>81.75</v>
      </c>
      <c r="N26" s="46"/>
      <c r="O26" s="47">
        <f t="shared" si="2"/>
        <v>318.10000000000002</v>
      </c>
      <c r="P26" s="46"/>
      <c r="Q26" s="46"/>
      <c r="R26" s="47">
        <f t="shared" si="3"/>
        <v>318.10000000000002</v>
      </c>
      <c r="T26" s="118"/>
    </row>
    <row r="27" spans="1:21" s="87" customFormat="1" ht="24" x14ac:dyDescent="0.2">
      <c r="A27" s="7" t="s">
        <v>31</v>
      </c>
      <c r="B27" s="14" t="s">
        <v>139</v>
      </c>
      <c r="C27" s="8" t="s">
        <v>288</v>
      </c>
      <c r="D27" s="13" t="s">
        <v>289</v>
      </c>
      <c r="E27" s="55">
        <v>42403</v>
      </c>
      <c r="F27" s="55">
        <v>42404</v>
      </c>
      <c r="G27" s="13" t="s">
        <v>246</v>
      </c>
      <c r="H27" s="52"/>
      <c r="I27" s="74"/>
      <c r="J27" s="46">
        <v>256.83</v>
      </c>
      <c r="K27" s="46">
        <f>23.34+60+23.54</f>
        <v>106.88</v>
      </c>
      <c r="L27" s="46">
        <v>168.59</v>
      </c>
      <c r="M27" s="28"/>
      <c r="N27" s="28"/>
      <c r="O27" s="47">
        <f t="shared" si="2"/>
        <v>532.29999999999995</v>
      </c>
      <c r="P27" s="28"/>
      <c r="Q27" s="28"/>
      <c r="R27" s="47">
        <f t="shared" si="3"/>
        <v>532.29999999999995</v>
      </c>
      <c r="S27" s="12"/>
    </row>
    <row r="28" spans="1:21" s="9" customFormat="1" ht="24" x14ac:dyDescent="0.2">
      <c r="A28" s="7" t="s">
        <v>31</v>
      </c>
      <c r="B28" s="14" t="s">
        <v>139</v>
      </c>
      <c r="C28" s="13" t="s">
        <v>178</v>
      </c>
      <c r="D28" s="13" t="s">
        <v>286</v>
      </c>
      <c r="E28" s="55">
        <v>42464</v>
      </c>
      <c r="F28" s="55">
        <v>42465</v>
      </c>
      <c r="G28" s="13" t="s">
        <v>93</v>
      </c>
      <c r="H28" s="52"/>
      <c r="I28" s="74"/>
      <c r="J28" s="28"/>
      <c r="K28" s="46">
        <v>121.55</v>
      </c>
      <c r="L28" s="113"/>
      <c r="M28" s="28"/>
      <c r="N28" s="28"/>
      <c r="O28" s="47">
        <f t="shared" si="2"/>
        <v>121.55</v>
      </c>
      <c r="P28" s="28"/>
      <c r="Q28" s="28"/>
      <c r="R28" s="47">
        <f t="shared" si="3"/>
        <v>121.55</v>
      </c>
      <c r="S28" s="12"/>
    </row>
    <row r="29" spans="1:21" s="9" customFormat="1" ht="24" x14ac:dyDescent="0.2">
      <c r="A29" s="7" t="s">
        <v>31</v>
      </c>
      <c r="B29" s="14" t="s">
        <v>139</v>
      </c>
      <c r="C29" s="8" t="s">
        <v>186</v>
      </c>
      <c r="D29" s="13" t="s">
        <v>303</v>
      </c>
      <c r="E29" s="55">
        <v>42526</v>
      </c>
      <c r="F29" s="55">
        <v>42530</v>
      </c>
      <c r="G29" s="13" t="s">
        <v>287</v>
      </c>
      <c r="H29" s="52"/>
      <c r="I29" s="74"/>
      <c r="J29" s="46">
        <v>682.52</v>
      </c>
      <c r="K29" s="28"/>
      <c r="L29" s="113"/>
      <c r="M29" s="28"/>
      <c r="N29" s="28"/>
      <c r="O29" s="47">
        <f t="shared" si="2"/>
        <v>682.52</v>
      </c>
      <c r="P29" s="28"/>
      <c r="Q29" s="28"/>
      <c r="R29" s="47">
        <f t="shared" si="3"/>
        <v>682.52</v>
      </c>
      <c r="S29" s="12"/>
      <c r="T29" s="118"/>
    </row>
    <row r="30" spans="1:21" s="9" customFormat="1" ht="12" x14ac:dyDescent="0.2">
      <c r="A30" s="37" t="s">
        <v>1</v>
      </c>
      <c r="B30" s="18" t="s">
        <v>25</v>
      </c>
      <c r="C30" s="11" t="s">
        <v>192</v>
      </c>
      <c r="D30" s="18"/>
      <c r="E30" s="55">
        <v>42326</v>
      </c>
      <c r="F30" s="55">
        <v>42327</v>
      </c>
      <c r="G30" s="57" t="s">
        <v>18</v>
      </c>
      <c r="H30" s="39"/>
      <c r="I30" s="39"/>
      <c r="J30" s="46"/>
      <c r="K30" s="28">
        <v>35</v>
      </c>
      <c r="L30" s="113">
        <v>235.09</v>
      </c>
      <c r="M30" s="28"/>
      <c r="N30" s="40"/>
      <c r="O30" s="26">
        <f t="shared" si="2"/>
        <v>270.09000000000003</v>
      </c>
      <c r="P30" s="40"/>
      <c r="Q30" s="40"/>
      <c r="R30" s="26">
        <f>SUM(O30:P30:Q30)</f>
        <v>270.09000000000003</v>
      </c>
    </row>
    <row r="31" spans="1:21" s="9" customFormat="1" ht="12" x14ac:dyDescent="0.2">
      <c r="A31" s="37" t="s">
        <v>1</v>
      </c>
      <c r="B31" s="18" t="s">
        <v>25</v>
      </c>
      <c r="C31" s="11" t="s">
        <v>55</v>
      </c>
      <c r="D31" s="20"/>
      <c r="E31" s="55">
        <v>42452</v>
      </c>
      <c r="F31" s="55">
        <v>42453</v>
      </c>
      <c r="G31" s="13" t="s">
        <v>18</v>
      </c>
      <c r="H31" s="7"/>
      <c r="I31" s="7"/>
      <c r="J31" s="46"/>
      <c r="K31" s="46">
        <f>120+29</f>
        <v>149</v>
      </c>
      <c r="L31" s="114">
        <v>132.41999999999999</v>
      </c>
      <c r="M31" s="46"/>
      <c r="N31" s="46"/>
      <c r="O31" s="47"/>
      <c r="P31" s="46"/>
      <c r="Q31" s="46"/>
      <c r="R31" s="47"/>
    </row>
    <row r="32" spans="1:21" s="9" customFormat="1" ht="12" x14ac:dyDescent="0.2">
      <c r="A32" s="10" t="s">
        <v>126</v>
      </c>
      <c r="B32" s="10" t="s">
        <v>25</v>
      </c>
      <c r="C32" s="11" t="s">
        <v>301</v>
      </c>
      <c r="D32" s="20"/>
      <c r="E32" s="55">
        <v>42381</v>
      </c>
      <c r="F32" s="55">
        <v>42382</v>
      </c>
      <c r="G32" s="10" t="s">
        <v>18</v>
      </c>
      <c r="H32" s="27"/>
      <c r="I32" s="27"/>
      <c r="J32" s="27"/>
      <c r="K32" s="28"/>
      <c r="L32" s="113">
        <v>142.69999999999999</v>
      </c>
      <c r="M32" s="27"/>
      <c r="N32" s="27"/>
      <c r="O32" s="26">
        <f t="shared" ref="O32:O39" si="4">SUM(J32:N32)</f>
        <v>142.69999999999999</v>
      </c>
      <c r="P32" s="27"/>
      <c r="Q32" s="27"/>
      <c r="R32" s="26">
        <f>SUM(O32:Q32)</f>
        <v>142.69999999999999</v>
      </c>
      <c r="S32" s="12"/>
    </row>
    <row r="33" spans="1:20" s="9" customFormat="1" ht="12" x14ac:dyDescent="0.2">
      <c r="A33" s="10" t="s">
        <v>126</v>
      </c>
      <c r="B33" s="10" t="s">
        <v>25</v>
      </c>
      <c r="C33" s="11" t="s">
        <v>55</v>
      </c>
      <c r="D33" s="20"/>
      <c r="E33" s="55">
        <v>42452</v>
      </c>
      <c r="F33" s="55">
        <v>42453</v>
      </c>
      <c r="G33" s="13" t="s">
        <v>18</v>
      </c>
      <c r="H33" s="27"/>
      <c r="I33" s="74"/>
      <c r="J33" s="27"/>
      <c r="K33" s="28"/>
      <c r="L33" s="113">
        <v>132.41999999999999</v>
      </c>
      <c r="M33" s="27"/>
      <c r="N33" s="27"/>
      <c r="O33" s="26">
        <f t="shared" si="4"/>
        <v>132.41999999999999</v>
      </c>
      <c r="P33" s="27"/>
      <c r="Q33" s="27"/>
      <c r="R33" s="26">
        <f>SUM(O33:Q33)</f>
        <v>132.41999999999999</v>
      </c>
    </row>
    <row r="34" spans="1:20" s="9" customFormat="1" ht="12" x14ac:dyDescent="0.2">
      <c r="A34" s="37" t="s">
        <v>173</v>
      </c>
      <c r="B34" s="18" t="s">
        <v>25</v>
      </c>
      <c r="C34" s="11" t="s">
        <v>55</v>
      </c>
      <c r="D34" s="18"/>
      <c r="E34" s="55">
        <v>42452</v>
      </c>
      <c r="F34" s="55">
        <v>42453</v>
      </c>
      <c r="G34" s="13" t="s">
        <v>18</v>
      </c>
      <c r="H34" s="39"/>
      <c r="I34" s="39"/>
      <c r="J34" s="28"/>
      <c r="K34" s="28">
        <f>24.8+17.7</f>
        <v>42.5</v>
      </c>
      <c r="L34" s="113"/>
      <c r="M34" s="28"/>
      <c r="N34" s="40"/>
      <c r="O34" s="26">
        <f t="shared" si="4"/>
        <v>42.5</v>
      </c>
      <c r="P34" s="40"/>
      <c r="Q34" s="40"/>
      <c r="R34" s="26">
        <f>SUM(O34:P34:Q34)</f>
        <v>42.5</v>
      </c>
    </row>
    <row r="35" spans="1:20" s="12" customFormat="1" ht="12" x14ac:dyDescent="0.2">
      <c r="A35" s="37" t="s">
        <v>50</v>
      </c>
      <c r="B35" s="18" t="s">
        <v>25</v>
      </c>
      <c r="C35" s="11" t="s">
        <v>55</v>
      </c>
      <c r="D35" s="18"/>
      <c r="E35" s="55">
        <v>42452</v>
      </c>
      <c r="F35" s="55">
        <v>42453</v>
      </c>
      <c r="G35" s="13" t="s">
        <v>18</v>
      </c>
      <c r="H35" s="39"/>
      <c r="I35" s="39"/>
      <c r="J35" s="28"/>
      <c r="K35" s="28">
        <v>29</v>
      </c>
      <c r="L35" s="113">
        <v>132.41999999999999</v>
      </c>
      <c r="M35" s="28"/>
      <c r="N35" s="40"/>
      <c r="O35" s="26">
        <f t="shared" si="4"/>
        <v>161.41999999999999</v>
      </c>
      <c r="P35" s="40"/>
      <c r="Q35" s="40"/>
      <c r="R35" s="26">
        <f>SUM(O35:P35:Q35)</f>
        <v>161.41999999999999</v>
      </c>
      <c r="S35" s="9"/>
    </row>
    <row r="36" spans="1:20" s="12" customFormat="1" ht="12" x14ac:dyDescent="0.2">
      <c r="A36" s="37" t="s">
        <v>2</v>
      </c>
      <c r="B36" s="18" t="s">
        <v>19</v>
      </c>
      <c r="C36" s="18" t="s">
        <v>299</v>
      </c>
      <c r="D36" s="18"/>
      <c r="E36" s="58">
        <v>42381</v>
      </c>
      <c r="F36" s="58">
        <v>42382</v>
      </c>
      <c r="G36" s="18" t="s">
        <v>18</v>
      </c>
      <c r="H36" s="37"/>
      <c r="I36" s="37"/>
      <c r="J36" s="46"/>
      <c r="K36" s="65"/>
      <c r="L36" s="114">
        <v>143.72</v>
      </c>
      <c r="M36" s="46"/>
      <c r="N36" s="48"/>
      <c r="O36" s="47">
        <f t="shared" si="4"/>
        <v>143.72</v>
      </c>
      <c r="P36" s="48"/>
      <c r="Q36" s="48"/>
      <c r="R36" s="47">
        <f>SUM(O36:Q36)</f>
        <v>143.72</v>
      </c>
      <c r="S36" s="49"/>
    </row>
    <row r="37" spans="1:20" s="12" customFormat="1" ht="12" x14ac:dyDescent="0.2">
      <c r="A37" s="37" t="s">
        <v>2</v>
      </c>
      <c r="B37" s="18" t="s">
        <v>19</v>
      </c>
      <c r="C37" s="18" t="s">
        <v>170</v>
      </c>
      <c r="D37" s="18"/>
      <c r="E37" s="58">
        <v>42444</v>
      </c>
      <c r="F37" s="58">
        <v>42445</v>
      </c>
      <c r="G37" s="57" t="s">
        <v>47</v>
      </c>
      <c r="H37" s="37"/>
      <c r="I37" s="37"/>
      <c r="J37" s="46">
        <v>284.25</v>
      </c>
      <c r="K37" s="51">
        <v>35</v>
      </c>
      <c r="L37" s="114"/>
      <c r="M37" s="46">
        <v>18.559999999999999</v>
      </c>
      <c r="N37" s="48"/>
      <c r="O37" s="47">
        <f t="shared" si="4"/>
        <v>337.81</v>
      </c>
      <c r="P37" s="48"/>
      <c r="Q37" s="48"/>
      <c r="R37" s="47">
        <f>SUM(O37:Q37)</f>
        <v>337.81</v>
      </c>
      <c r="S37" s="49"/>
      <c r="T37" s="117"/>
    </row>
    <row r="38" spans="1:20" s="9" customFormat="1" ht="24" x14ac:dyDescent="0.2">
      <c r="A38" s="37" t="s">
        <v>133</v>
      </c>
      <c r="B38" s="8" t="s">
        <v>308</v>
      </c>
      <c r="C38" s="11" t="s">
        <v>240</v>
      </c>
      <c r="D38" s="18" t="s">
        <v>282</v>
      </c>
      <c r="E38" s="58">
        <v>42403</v>
      </c>
      <c r="F38" s="58">
        <v>42403</v>
      </c>
      <c r="G38" s="57" t="s">
        <v>18</v>
      </c>
      <c r="H38" s="37"/>
      <c r="I38" s="37"/>
      <c r="J38" s="46"/>
      <c r="K38" s="51">
        <v>9</v>
      </c>
      <c r="L38" s="114"/>
      <c r="M38" s="46"/>
      <c r="N38" s="48"/>
      <c r="O38" s="47">
        <f t="shared" si="4"/>
        <v>9</v>
      </c>
      <c r="P38" s="48"/>
      <c r="Q38" s="48"/>
      <c r="R38" s="47">
        <f>SUM(O38:Q38)</f>
        <v>9</v>
      </c>
      <c r="S38" s="49"/>
      <c r="T38" s="118" t="s">
        <v>266</v>
      </c>
    </row>
    <row r="39" spans="1:20" s="9" customFormat="1" ht="24" x14ac:dyDescent="0.2">
      <c r="A39" s="37" t="s">
        <v>133</v>
      </c>
      <c r="B39" s="8" t="s">
        <v>308</v>
      </c>
      <c r="C39" s="8" t="s">
        <v>201</v>
      </c>
      <c r="D39" s="18" t="s">
        <v>285</v>
      </c>
      <c r="E39" s="58">
        <v>42423</v>
      </c>
      <c r="F39" s="58">
        <v>42423</v>
      </c>
      <c r="G39" s="13" t="s">
        <v>135</v>
      </c>
      <c r="H39" s="37"/>
      <c r="I39" s="37"/>
      <c r="J39" s="46">
        <v>247.76</v>
      </c>
      <c r="K39" s="51">
        <v>35</v>
      </c>
      <c r="L39" s="114"/>
      <c r="M39" s="46"/>
      <c r="N39" s="48"/>
      <c r="O39" s="47">
        <f t="shared" si="4"/>
        <v>282.76</v>
      </c>
      <c r="P39" s="48"/>
      <c r="Q39" s="48"/>
      <c r="R39" s="47">
        <f>SUM(O39:Q39)</f>
        <v>282.76</v>
      </c>
      <c r="S39" s="49"/>
      <c r="T39" s="118"/>
    </row>
    <row r="40" spans="1:20" s="9" customFormat="1" ht="24" x14ac:dyDescent="0.2">
      <c r="A40" s="37" t="s">
        <v>133</v>
      </c>
      <c r="B40" s="8" t="s">
        <v>308</v>
      </c>
      <c r="C40" s="8" t="s">
        <v>298</v>
      </c>
      <c r="D40" s="18"/>
      <c r="E40" s="58">
        <v>42426</v>
      </c>
      <c r="F40" s="58">
        <v>42426</v>
      </c>
      <c r="G40" s="57" t="s">
        <v>18</v>
      </c>
      <c r="H40" s="37"/>
      <c r="I40" s="37"/>
      <c r="J40" s="46"/>
      <c r="K40" s="51">
        <v>20</v>
      </c>
      <c r="L40" s="114"/>
      <c r="M40" s="46"/>
      <c r="N40" s="48"/>
      <c r="O40" s="47"/>
      <c r="P40" s="48"/>
      <c r="Q40" s="48"/>
      <c r="R40" s="47"/>
      <c r="S40" s="49"/>
    </row>
    <row r="41" spans="1:20" s="9" customFormat="1" ht="24" x14ac:dyDescent="0.2">
      <c r="A41" s="37" t="s">
        <v>133</v>
      </c>
      <c r="B41" s="8" t="s">
        <v>308</v>
      </c>
      <c r="C41" s="11" t="s">
        <v>186</v>
      </c>
      <c r="D41" s="18" t="s">
        <v>283</v>
      </c>
      <c r="E41" s="58">
        <v>42443</v>
      </c>
      <c r="F41" s="58">
        <v>42445</v>
      </c>
      <c r="G41" s="57" t="s">
        <v>284</v>
      </c>
      <c r="H41" s="37"/>
      <c r="I41" s="37"/>
      <c r="J41" s="46">
        <v>1066.25</v>
      </c>
      <c r="K41" s="51"/>
      <c r="L41" s="114">
        <v>1054.03</v>
      </c>
      <c r="M41" s="46"/>
      <c r="N41" s="48"/>
      <c r="O41" s="47">
        <f t="shared" ref="O41:O54" si="5">SUM(J41:N41)</f>
        <v>2120.2799999999997</v>
      </c>
      <c r="P41" s="48"/>
      <c r="Q41" s="48"/>
      <c r="R41" s="47">
        <f>SUM(O41:Q41)</f>
        <v>2120.2799999999997</v>
      </c>
      <c r="S41" s="49"/>
    </row>
    <row r="42" spans="1:20" s="12" customFormat="1" ht="12" x14ac:dyDescent="0.2">
      <c r="A42" s="37" t="s">
        <v>207</v>
      </c>
      <c r="B42" s="18" t="s">
        <v>25</v>
      </c>
      <c r="C42" s="11" t="s">
        <v>55</v>
      </c>
      <c r="D42" s="18"/>
      <c r="E42" s="55">
        <v>42452</v>
      </c>
      <c r="F42" s="55">
        <v>42453</v>
      </c>
      <c r="G42" s="13" t="s">
        <v>18</v>
      </c>
      <c r="H42" s="39"/>
      <c r="I42" s="39"/>
      <c r="J42" s="28"/>
      <c r="K42" s="28">
        <v>29</v>
      </c>
      <c r="L42" s="113">
        <v>132.41999999999999</v>
      </c>
      <c r="M42" s="28"/>
      <c r="N42" s="40"/>
      <c r="O42" s="26">
        <f t="shared" si="5"/>
        <v>161.41999999999999</v>
      </c>
      <c r="P42" s="40"/>
      <c r="Q42" s="40"/>
      <c r="R42" s="26">
        <f>SUM(O42:P42:Q42)</f>
        <v>161.41999999999999</v>
      </c>
      <c r="S42" s="9"/>
    </row>
    <row r="43" spans="1:20" s="12" customFormat="1" ht="12" x14ac:dyDescent="0.2">
      <c r="A43" s="37" t="s">
        <v>209</v>
      </c>
      <c r="B43" s="18" t="s">
        <v>25</v>
      </c>
      <c r="C43" s="11" t="s">
        <v>55</v>
      </c>
      <c r="D43" s="18"/>
      <c r="E43" s="55">
        <v>42452</v>
      </c>
      <c r="F43" s="55">
        <v>42453</v>
      </c>
      <c r="G43" s="13" t="s">
        <v>18</v>
      </c>
      <c r="H43" s="39"/>
      <c r="I43" s="39"/>
      <c r="J43" s="28"/>
      <c r="K43" s="28">
        <f>196</f>
        <v>196</v>
      </c>
      <c r="L43" s="113">
        <v>142.69999999999999</v>
      </c>
      <c r="M43" s="28">
        <v>20</v>
      </c>
      <c r="N43" s="40"/>
      <c r="O43" s="26">
        <f t="shared" si="5"/>
        <v>358.7</v>
      </c>
      <c r="P43" s="40"/>
      <c r="Q43" s="40"/>
      <c r="R43" s="26">
        <f>SUM(O43:P43:Q43)</f>
        <v>358.7</v>
      </c>
      <c r="S43" s="9"/>
    </row>
    <row r="44" spans="1:20" s="12" customFormat="1" ht="24" x14ac:dyDescent="0.2">
      <c r="A44" s="10" t="s">
        <v>38</v>
      </c>
      <c r="B44" s="13" t="s">
        <v>168</v>
      </c>
      <c r="C44" s="11" t="s">
        <v>201</v>
      </c>
      <c r="D44" s="13" t="s">
        <v>281</v>
      </c>
      <c r="E44" s="55">
        <v>42375</v>
      </c>
      <c r="F44" s="55">
        <v>42375</v>
      </c>
      <c r="G44" s="13" t="s">
        <v>18</v>
      </c>
      <c r="H44" s="27"/>
      <c r="I44" s="27"/>
      <c r="J44" s="28"/>
      <c r="K44" s="28">
        <v>12</v>
      </c>
      <c r="L44" s="113"/>
      <c r="M44" s="28"/>
      <c r="N44" s="28"/>
      <c r="O44" s="26">
        <f t="shared" si="5"/>
        <v>12</v>
      </c>
      <c r="P44" s="28"/>
      <c r="Q44" s="28"/>
      <c r="R44" s="26">
        <f>SUM(O44:P44:Q44)</f>
        <v>12</v>
      </c>
      <c r="S44" s="87"/>
      <c r="T44" s="117"/>
    </row>
    <row r="45" spans="1:20" s="12" customFormat="1" ht="12" x14ac:dyDescent="0.2">
      <c r="A45" s="10" t="s">
        <v>38</v>
      </c>
      <c r="B45" s="13" t="s">
        <v>168</v>
      </c>
      <c r="C45" s="11" t="s">
        <v>169</v>
      </c>
      <c r="D45" s="13"/>
      <c r="E45" s="55">
        <v>42268</v>
      </c>
      <c r="F45" s="55">
        <v>42268</v>
      </c>
      <c r="G45" s="13" t="s">
        <v>277</v>
      </c>
      <c r="H45" s="27"/>
      <c r="I45" s="74"/>
      <c r="J45" s="28"/>
      <c r="K45" s="28">
        <v>80</v>
      </c>
      <c r="L45" s="113"/>
      <c r="M45" s="28"/>
      <c r="N45" s="28"/>
      <c r="O45" s="26">
        <f t="shared" si="5"/>
        <v>80</v>
      </c>
      <c r="P45" s="28"/>
      <c r="Q45" s="28"/>
      <c r="R45" s="26">
        <f t="shared" ref="R45:R54" si="6">SUM(O45:Q45)</f>
        <v>80</v>
      </c>
      <c r="S45" s="9"/>
    </row>
    <row r="46" spans="1:20" s="9" customFormat="1" ht="12" x14ac:dyDescent="0.2">
      <c r="A46" s="10" t="s">
        <v>38</v>
      </c>
      <c r="B46" s="13" t="s">
        <v>168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27"/>
      <c r="I46" s="27"/>
      <c r="J46" s="28"/>
      <c r="K46" s="28">
        <v>90.4</v>
      </c>
      <c r="L46" s="113"/>
      <c r="M46" s="28"/>
      <c r="N46" s="28"/>
      <c r="O46" s="26">
        <f t="shared" si="5"/>
        <v>90.4</v>
      </c>
      <c r="P46" s="28"/>
      <c r="Q46" s="28"/>
      <c r="R46" s="26">
        <f t="shared" si="6"/>
        <v>90.4</v>
      </c>
    </row>
    <row r="47" spans="1:20" s="9" customFormat="1" ht="12" x14ac:dyDescent="0.2">
      <c r="A47" s="10" t="s">
        <v>38</v>
      </c>
      <c r="B47" s="13" t="s">
        <v>168</v>
      </c>
      <c r="C47" s="8" t="s">
        <v>72</v>
      </c>
      <c r="D47" s="13"/>
      <c r="E47" s="55">
        <v>42317</v>
      </c>
      <c r="F47" s="55">
        <v>42317</v>
      </c>
      <c r="G47" s="13" t="s">
        <v>278</v>
      </c>
      <c r="H47" s="27"/>
      <c r="I47" s="74"/>
      <c r="J47" s="28"/>
      <c r="K47" s="28">
        <v>152</v>
      </c>
      <c r="L47" s="113"/>
      <c r="M47" s="28"/>
      <c r="N47" s="28"/>
      <c r="O47" s="26">
        <f t="shared" si="5"/>
        <v>152</v>
      </c>
      <c r="P47" s="28"/>
      <c r="Q47" s="28"/>
      <c r="R47" s="26">
        <f t="shared" si="6"/>
        <v>152</v>
      </c>
    </row>
    <row r="48" spans="1:20" s="9" customFormat="1" ht="12" x14ac:dyDescent="0.2">
      <c r="A48" s="10" t="s">
        <v>38</v>
      </c>
      <c r="B48" s="13" t="s">
        <v>168</v>
      </c>
      <c r="C48" s="8" t="s">
        <v>72</v>
      </c>
      <c r="D48" s="13"/>
      <c r="E48" s="55">
        <v>42320</v>
      </c>
      <c r="F48" s="55">
        <v>42320</v>
      </c>
      <c r="G48" s="13" t="s">
        <v>279</v>
      </c>
      <c r="H48" s="27"/>
      <c r="I48" s="74"/>
      <c r="J48" s="28"/>
      <c r="K48" s="28">
        <v>44.8</v>
      </c>
      <c r="L48" s="113"/>
      <c r="M48" s="28"/>
      <c r="N48" s="28"/>
      <c r="O48" s="26">
        <f t="shared" si="5"/>
        <v>44.8</v>
      </c>
      <c r="P48" s="28"/>
      <c r="Q48" s="28"/>
      <c r="R48" s="26">
        <f t="shared" si="6"/>
        <v>44.8</v>
      </c>
    </row>
    <row r="49" spans="1:19" s="12" customFormat="1" ht="12" x14ac:dyDescent="0.2">
      <c r="A49" s="10" t="s">
        <v>38</v>
      </c>
      <c r="B49" s="13" t="s">
        <v>168</v>
      </c>
      <c r="C49" s="8" t="s">
        <v>72</v>
      </c>
      <c r="D49" s="13"/>
      <c r="E49" s="55">
        <v>42321</v>
      </c>
      <c r="F49" s="55">
        <v>42321</v>
      </c>
      <c r="G49" s="13" t="s">
        <v>280</v>
      </c>
      <c r="H49" s="27"/>
      <c r="I49" s="74"/>
      <c r="J49" s="28"/>
      <c r="K49" s="28">
        <v>80</v>
      </c>
      <c r="L49" s="113"/>
      <c r="M49" s="28"/>
      <c r="N49" s="28"/>
      <c r="O49" s="26">
        <f t="shared" si="5"/>
        <v>80</v>
      </c>
      <c r="P49" s="28"/>
      <c r="Q49" s="28"/>
      <c r="R49" s="26">
        <f t="shared" si="6"/>
        <v>80</v>
      </c>
      <c r="S49" s="9"/>
    </row>
    <row r="50" spans="1:19" s="12" customFormat="1" ht="12" x14ac:dyDescent="0.2">
      <c r="A50" s="10" t="s">
        <v>38</v>
      </c>
      <c r="B50" s="13" t="s">
        <v>168</v>
      </c>
      <c r="C50" s="8" t="s">
        <v>299</v>
      </c>
      <c r="D50" s="13"/>
      <c r="E50" s="55">
        <v>42383</v>
      </c>
      <c r="F50" s="55">
        <v>42383</v>
      </c>
      <c r="G50" s="13" t="s">
        <v>18</v>
      </c>
      <c r="H50" s="27"/>
      <c r="I50" s="74"/>
      <c r="J50" s="28"/>
      <c r="K50" s="28">
        <v>40</v>
      </c>
      <c r="L50" s="113"/>
      <c r="M50" s="28"/>
      <c r="N50" s="28"/>
      <c r="O50" s="26">
        <f t="shared" si="5"/>
        <v>40</v>
      </c>
      <c r="P50" s="28"/>
      <c r="Q50" s="28"/>
      <c r="R50" s="26">
        <f t="shared" si="6"/>
        <v>40</v>
      </c>
      <c r="S50" s="9"/>
    </row>
    <row r="51" spans="1:19" s="12" customFormat="1" ht="22.5" customHeight="1" x14ac:dyDescent="0.2">
      <c r="A51" s="10" t="s">
        <v>38</v>
      </c>
      <c r="B51" s="13" t="s">
        <v>168</v>
      </c>
      <c r="C51" s="8" t="s">
        <v>201</v>
      </c>
      <c r="D51" s="13" t="s">
        <v>294</v>
      </c>
      <c r="E51" s="55">
        <v>42397</v>
      </c>
      <c r="F51" s="55">
        <v>42397</v>
      </c>
      <c r="G51" s="13" t="s">
        <v>295</v>
      </c>
      <c r="H51" s="27"/>
      <c r="I51" s="74"/>
      <c r="J51" s="28"/>
      <c r="K51" s="28">
        <v>64</v>
      </c>
      <c r="L51" s="113"/>
      <c r="M51" s="28"/>
      <c r="N51" s="28"/>
      <c r="O51" s="26">
        <f t="shared" si="5"/>
        <v>64</v>
      </c>
      <c r="P51" s="28"/>
      <c r="Q51" s="28"/>
      <c r="R51" s="26">
        <f t="shared" si="6"/>
        <v>64</v>
      </c>
      <c r="S51" s="9"/>
    </row>
    <row r="52" spans="1:19" s="12" customFormat="1" ht="22.5" customHeight="1" x14ac:dyDescent="0.2">
      <c r="A52" s="10" t="s">
        <v>38</v>
      </c>
      <c r="B52" s="13" t="s">
        <v>168</v>
      </c>
      <c r="C52" s="8" t="s">
        <v>298</v>
      </c>
      <c r="D52" s="13"/>
      <c r="E52" s="55">
        <v>42426</v>
      </c>
      <c r="F52" s="55">
        <v>42426</v>
      </c>
      <c r="G52" s="13" t="s">
        <v>18</v>
      </c>
      <c r="H52" s="27"/>
      <c r="I52" s="74"/>
      <c r="J52" s="28"/>
      <c r="K52" s="28">
        <v>16</v>
      </c>
      <c r="L52" s="113"/>
      <c r="M52" s="28"/>
      <c r="N52" s="28"/>
      <c r="O52" s="26">
        <f t="shared" si="5"/>
        <v>16</v>
      </c>
      <c r="P52" s="28"/>
      <c r="Q52" s="28"/>
      <c r="R52" s="26">
        <f t="shared" si="6"/>
        <v>16</v>
      </c>
      <c r="S52" s="9"/>
    </row>
    <row r="53" spans="1:19" s="12" customFormat="1" ht="12" x14ac:dyDescent="0.2">
      <c r="A53" s="10" t="s">
        <v>38</v>
      </c>
      <c r="B53" s="13" t="s">
        <v>168</v>
      </c>
      <c r="C53" s="8" t="s">
        <v>72</v>
      </c>
      <c r="D53" s="13"/>
      <c r="E53" s="55">
        <v>42437</v>
      </c>
      <c r="F53" s="55">
        <v>42437</v>
      </c>
      <c r="G53" s="13" t="s">
        <v>251</v>
      </c>
      <c r="H53" s="27"/>
      <c r="I53" s="74"/>
      <c r="J53" s="28"/>
      <c r="K53" s="28">
        <v>113.9</v>
      </c>
      <c r="L53" s="113"/>
      <c r="M53" s="28"/>
      <c r="N53" s="28"/>
      <c r="O53" s="26">
        <f t="shared" si="5"/>
        <v>113.9</v>
      </c>
      <c r="P53" s="28"/>
      <c r="Q53" s="28"/>
      <c r="R53" s="26">
        <f t="shared" si="6"/>
        <v>113.9</v>
      </c>
      <c r="S53" s="9"/>
    </row>
    <row r="54" spans="1:19" s="12" customFormat="1" ht="12" x14ac:dyDescent="0.2">
      <c r="A54" s="10" t="s">
        <v>38</v>
      </c>
      <c r="B54" s="13" t="s">
        <v>168</v>
      </c>
      <c r="C54" s="8" t="s">
        <v>72</v>
      </c>
      <c r="D54" s="13"/>
      <c r="E54" s="55">
        <v>42438</v>
      </c>
      <c r="F54" s="55">
        <v>42438</v>
      </c>
      <c r="G54" s="13" t="s">
        <v>296</v>
      </c>
      <c r="H54" s="27"/>
      <c r="I54" s="74"/>
      <c r="J54" s="28"/>
      <c r="K54" s="28">
        <v>100</v>
      </c>
      <c r="L54" s="113"/>
      <c r="M54" s="28"/>
      <c r="N54" s="28"/>
      <c r="O54" s="26">
        <f t="shared" si="5"/>
        <v>100</v>
      </c>
      <c r="P54" s="28"/>
      <c r="Q54" s="28"/>
      <c r="R54" s="26">
        <f t="shared" si="6"/>
        <v>100</v>
      </c>
      <c r="S54" s="9"/>
    </row>
    <row r="55" spans="1:19" s="12" customFormat="1" ht="24" x14ac:dyDescent="0.2">
      <c r="A55" s="10" t="s">
        <v>38</v>
      </c>
      <c r="B55" s="13" t="s">
        <v>168</v>
      </c>
      <c r="C55" s="8" t="s">
        <v>178</v>
      </c>
      <c r="D55" s="13" t="s">
        <v>286</v>
      </c>
      <c r="E55" s="55">
        <v>42473</v>
      </c>
      <c r="F55" s="55">
        <v>42473</v>
      </c>
      <c r="G55" s="13" t="s">
        <v>47</v>
      </c>
      <c r="H55" s="27"/>
      <c r="I55" s="74"/>
      <c r="J55" s="28">
        <v>273.25</v>
      </c>
      <c r="K55" s="28"/>
      <c r="L55" s="113"/>
      <c r="M55" s="28"/>
      <c r="N55" s="28"/>
      <c r="O55" s="26">
        <f>SUM(J55:N55)</f>
        <v>273.25</v>
      </c>
      <c r="P55" s="28"/>
      <c r="Q55" s="28"/>
      <c r="R55" s="26">
        <f>SUM(O55:Q55)</f>
        <v>273.25</v>
      </c>
      <c r="S55" s="9"/>
    </row>
    <row r="56" spans="1:19" s="87" customFormat="1" ht="12" x14ac:dyDescent="0.2">
      <c r="A56" s="7" t="s">
        <v>234</v>
      </c>
      <c r="B56" s="8" t="s">
        <v>25</v>
      </c>
      <c r="C56" s="11" t="s">
        <v>55</v>
      </c>
      <c r="D56" s="20"/>
      <c r="E56" s="55">
        <v>42452</v>
      </c>
      <c r="F56" s="55">
        <v>42453</v>
      </c>
      <c r="G56" s="13" t="s">
        <v>18</v>
      </c>
      <c r="H56" s="27"/>
      <c r="I56" s="74"/>
      <c r="J56" s="27"/>
      <c r="K56" s="28"/>
      <c r="L56" s="113">
        <v>132.41999999999999</v>
      </c>
      <c r="M56" s="27"/>
      <c r="N56" s="27"/>
      <c r="O56" s="26">
        <f>SUM(J56:N56)</f>
        <v>132.41999999999999</v>
      </c>
      <c r="P56" s="27"/>
      <c r="Q56" s="27"/>
      <c r="R56" s="26">
        <f>SUM(O56:Q56)</f>
        <v>132.41999999999999</v>
      </c>
    </row>
    <row r="57" spans="1:19" x14ac:dyDescent="0.2">
      <c r="J57" s="124"/>
      <c r="K57" s="124"/>
      <c r="L57" s="125"/>
      <c r="M57" s="124"/>
    </row>
  </sheetData>
  <autoFilter ref="A1:U56" xr:uid="{00000000-0009-0000-0000-000011000000}"/>
  <sortState xmlns:xlrd2="http://schemas.microsoft.com/office/spreadsheetml/2017/richdata2"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1"/>
  <sheetViews>
    <sheetView topLeftCell="A10" zoomScale="110" zoomScaleNormal="110" workbookViewId="0">
      <selection activeCell="D10" sqref="D1:D1048576"/>
    </sheetView>
  </sheetViews>
  <sheetFormatPr defaultRowHeight="14.25" x14ac:dyDescent="0.2"/>
  <cols>
    <col min="1" max="1" width="16.5" bestFit="1" customWidth="1"/>
    <col min="2" max="2" width="18.875" customWidth="1"/>
    <col min="3" max="3" width="39.375" bestFit="1" customWidth="1"/>
    <col min="4" max="4" width="44.625" bestFit="1" customWidth="1"/>
    <col min="7" max="7" width="26.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11" t="s">
        <v>55</v>
      </c>
      <c r="D2" s="8"/>
      <c r="E2" s="55">
        <v>42453</v>
      </c>
      <c r="F2" s="55">
        <v>42453</v>
      </c>
      <c r="G2" s="13" t="s">
        <v>18</v>
      </c>
      <c r="H2" s="27"/>
      <c r="I2" s="74"/>
      <c r="J2" s="27"/>
      <c r="K2" s="127">
        <v>83.2</v>
      </c>
      <c r="L2" s="113"/>
      <c r="M2" s="27"/>
      <c r="N2" s="27"/>
      <c r="O2" s="26">
        <f t="shared" ref="O2:O34" si="0">SUM(J2:N2)</f>
        <v>83.2</v>
      </c>
      <c r="P2" s="27"/>
      <c r="Q2" s="27"/>
      <c r="R2" s="26">
        <f t="shared" ref="R2:R38" si="1">SUM(O2:Q2)</f>
        <v>83.2</v>
      </c>
      <c r="S2" s="49"/>
    </row>
    <row r="3" spans="1:19" s="12" customFormat="1" ht="12" x14ac:dyDescent="0.2">
      <c r="A3" s="7" t="s">
        <v>30</v>
      </c>
      <c r="B3" s="8" t="s">
        <v>25</v>
      </c>
      <c r="C3" s="8" t="s">
        <v>201</v>
      </c>
      <c r="D3" s="20" t="s">
        <v>325</v>
      </c>
      <c r="E3" s="55">
        <v>42508</v>
      </c>
      <c r="F3" s="55">
        <v>42508</v>
      </c>
      <c r="G3" s="13" t="s">
        <v>18</v>
      </c>
      <c r="H3" s="27"/>
      <c r="I3" s="74"/>
      <c r="J3" s="27"/>
      <c r="K3" s="127">
        <f>83.2+14</f>
        <v>97.2</v>
      </c>
      <c r="L3" s="113"/>
      <c r="M3" s="27"/>
      <c r="N3" s="27"/>
      <c r="O3" s="26">
        <f t="shared" si="0"/>
        <v>97.2</v>
      </c>
      <c r="P3" s="27"/>
      <c r="Q3" s="27"/>
      <c r="R3" s="26">
        <f t="shared" si="1"/>
        <v>97.2</v>
      </c>
      <c r="S3" s="49"/>
    </row>
    <row r="4" spans="1:19" s="12" customFormat="1" ht="12" x14ac:dyDescent="0.2">
      <c r="A4" s="7" t="s">
        <v>30</v>
      </c>
      <c r="B4" s="8" t="s">
        <v>25</v>
      </c>
      <c r="C4" s="11" t="s">
        <v>64</v>
      </c>
      <c r="D4" s="8" t="s">
        <v>310</v>
      </c>
      <c r="E4" s="55">
        <v>42517</v>
      </c>
      <c r="F4" s="55">
        <v>42518</v>
      </c>
      <c r="G4" s="13" t="s">
        <v>118</v>
      </c>
      <c r="H4" s="27"/>
      <c r="I4" s="74"/>
      <c r="J4" s="27"/>
      <c r="K4" s="28"/>
      <c r="L4" s="128">
        <v>124</v>
      </c>
      <c r="M4" s="27"/>
      <c r="N4" s="27"/>
      <c r="O4" s="26">
        <f t="shared" si="0"/>
        <v>124</v>
      </c>
      <c r="P4" s="27"/>
      <c r="Q4" s="27"/>
      <c r="R4" s="26">
        <f t="shared" si="1"/>
        <v>124</v>
      </c>
      <c r="S4" s="49"/>
    </row>
    <row r="5" spans="1:19" s="12" customFormat="1" ht="12" x14ac:dyDescent="0.2">
      <c r="A5" s="10" t="s">
        <v>20</v>
      </c>
      <c r="B5" s="10" t="s">
        <v>21</v>
      </c>
      <c r="C5" s="11" t="s">
        <v>172</v>
      </c>
      <c r="D5" s="10" t="s">
        <v>321</v>
      </c>
      <c r="E5" s="55">
        <v>42293</v>
      </c>
      <c r="F5" s="55">
        <v>42293</v>
      </c>
      <c r="G5" s="10" t="s">
        <v>18</v>
      </c>
      <c r="H5" s="27" t="s">
        <v>324</v>
      </c>
      <c r="I5" s="27"/>
      <c r="J5" s="27"/>
      <c r="K5" s="28"/>
      <c r="L5" s="27"/>
      <c r="M5" s="126">
        <v>22.5</v>
      </c>
      <c r="N5" s="27"/>
      <c r="O5" s="26">
        <f t="shared" si="0"/>
        <v>22.5</v>
      </c>
      <c r="P5" s="27"/>
      <c r="Q5" s="27"/>
      <c r="R5" s="26">
        <f t="shared" si="1"/>
        <v>22.5</v>
      </c>
      <c r="S5" s="9"/>
    </row>
    <row r="6" spans="1:19" s="12" customFormat="1" ht="12" x14ac:dyDescent="0.2">
      <c r="A6" s="10" t="s">
        <v>20</v>
      </c>
      <c r="B6" s="10" t="s">
        <v>21</v>
      </c>
      <c r="C6" s="11" t="s">
        <v>107</v>
      </c>
      <c r="D6" s="8" t="s">
        <v>270</v>
      </c>
      <c r="E6" s="55">
        <v>42394</v>
      </c>
      <c r="F6" s="55">
        <v>42030</v>
      </c>
      <c r="G6" s="10" t="s">
        <v>271</v>
      </c>
      <c r="H6" s="74"/>
      <c r="I6" s="102"/>
      <c r="J6" s="27"/>
      <c r="K6" s="127">
        <v>75.64</v>
      </c>
      <c r="L6" s="113"/>
      <c r="M6" s="27"/>
      <c r="N6" s="27"/>
      <c r="O6" s="26">
        <f t="shared" si="0"/>
        <v>75.64</v>
      </c>
      <c r="P6" s="27"/>
      <c r="Q6" s="27"/>
      <c r="R6" s="26">
        <f t="shared" si="1"/>
        <v>75.64</v>
      </c>
    </row>
    <row r="7" spans="1:19" s="12" customFormat="1" ht="12" x14ac:dyDescent="0.2">
      <c r="A7" s="10" t="s">
        <v>20</v>
      </c>
      <c r="B7" s="10" t="s">
        <v>21</v>
      </c>
      <c r="C7" s="8" t="s">
        <v>201</v>
      </c>
      <c r="D7" s="8" t="s">
        <v>320</v>
      </c>
      <c r="E7" s="55">
        <v>42423</v>
      </c>
      <c r="F7" s="55">
        <v>42423</v>
      </c>
      <c r="G7" s="10" t="s">
        <v>135</v>
      </c>
      <c r="H7" s="74"/>
      <c r="I7" s="102"/>
      <c r="J7" s="27"/>
      <c r="K7" s="127">
        <v>28.2</v>
      </c>
      <c r="L7" s="113"/>
      <c r="M7" s="27"/>
      <c r="N7" s="27"/>
      <c r="O7" s="26">
        <f t="shared" si="0"/>
        <v>28.2</v>
      </c>
      <c r="P7" s="27"/>
      <c r="Q7" s="27"/>
      <c r="R7" s="26">
        <f t="shared" si="1"/>
        <v>28.2</v>
      </c>
    </row>
    <row r="8" spans="1:19" s="12" customFormat="1" ht="12" x14ac:dyDescent="0.2">
      <c r="A8" s="10" t="s">
        <v>20</v>
      </c>
      <c r="B8" s="10" t="s">
        <v>21</v>
      </c>
      <c r="C8" s="11" t="s">
        <v>342</v>
      </c>
      <c r="D8" s="8" t="s">
        <v>311</v>
      </c>
      <c r="E8" s="55">
        <v>42436</v>
      </c>
      <c r="F8" s="55">
        <v>42437</v>
      </c>
      <c r="G8" s="10" t="s">
        <v>47</v>
      </c>
      <c r="H8" s="74"/>
      <c r="I8" s="102"/>
      <c r="J8" s="126">
        <v>84.75</v>
      </c>
      <c r="K8" s="127">
        <f>11.29+41.16+27.73+41.52+20.04</f>
        <v>141.73999999999998</v>
      </c>
      <c r="L8" s="113"/>
      <c r="M8" s="27"/>
      <c r="N8" s="27"/>
      <c r="O8" s="26">
        <f t="shared" si="0"/>
        <v>226.48999999999998</v>
      </c>
      <c r="P8" s="27"/>
      <c r="Q8" s="27"/>
      <c r="R8" s="26">
        <f t="shared" si="1"/>
        <v>226.48999999999998</v>
      </c>
    </row>
    <row r="9" spans="1:19" s="12" customFormat="1" ht="12" x14ac:dyDescent="0.2">
      <c r="A9" s="10" t="s">
        <v>20</v>
      </c>
      <c r="B9" s="10" t="s">
        <v>21</v>
      </c>
      <c r="C9" s="11" t="s">
        <v>188</v>
      </c>
      <c r="D9" s="8" t="s">
        <v>292</v>
      </c>
      <c r="E9" s="55">
        <v>42464</v>
      </c>
      <c r="F9" s="55">
        <v>42465</v>
      </c>
      <c r="G9" s="10" t="s">
        <v>304</v>
      </c>
      <c r="H9" s="74"/>
      <c r="I9" s="102"/>
      <c r="J9" s="27"/>
      <c r="K9" s="127">
        <f>63+64+72</f>
        <v>199</v>
      </c>
      <c r="L9" s="128">
        <v>159.61000000000001</v>
      </c>
      <c r="M9" s="126">
        <f>20+8.75</f>
        <v>28.75</v>
      </c>
      <c r="N9" s="27"/>
      <c r="O9" s="26">
        <f t="shared" si="0"/>
        <v>387.36</v>
      </c>
      <c r="P9" s="27"/>
      <c r="Q9" s="27"/>
      <c r="R9" s="26">
        <f t="shared" si="1"/>
        <v>387.36</v>
      </c>
    </row>
    <row r="10" spans="1:19" s="12" customFormat="1" ht="12" x14ac:dyDescent="0.2">
      <c r="A10" s="10" t="s">
        <v>20</v>
      </c>
      <c r="B10" s="10" t="s">
        <v>21</v>
      </c>
      <c r="C10" s="8" t="s">
        <v>349</v>
      </c>
      <c r="D10" s="8" t="s">
        <v>313</v>
      </c>
      <c r="E10" s="55">
        <v>42467</v>
      </c>
      <c r="F10" s="55">
        <v>42467</v>
      </c>
      <c r="G10" s="10" t="s">
        <v>18</v>
      </c>
      <c r="H10" s="74"/>
      <c r="I10" s="102"/>
      <c r="J10" s="27"/>
      <c r="K10" s="127">
        <f>43+37</f>
        <v>80</v>
      </c>
      <c r="L10" s="113"/>
      <c r="M10" s="27"/>
      <c r="N10" s="27"/>
      <c r="O10" s="26">
        <f t="shared" si="0"/>
        <v>80</v>
      </c>
      <c r="P10" s="27"/>
      <c r="Q10" s="27"/>
      <c r="R10" s="26">
        <f t="shared" si="1"/>
        <v>80</v>
      </c>
      <c r="S10" s="117"/>
    </row>
    <row r="11" spans="1:19" s="12" customFormat="1" ht="12" x14ac:dyDescent="0.2">
      <c r="A11" s="10" t="s">
        <v>20</v>
      </c>
      <c r="B11" s="10" t="s">
        <v>21</v>
      </c>
      <c r="C11" s="8" t="s">
        <v>130</v>
      </c>
      <c r="D11" s="8" t="s">
        <v>318</v>
      </c>
      <c r="E11" s="55">
        <v>42468</v>
      </c>
      <c r="F11" s="55">
        <v>42468</v>
      </c>
      <c r="G11" s="10" t="s">
        <v>18</v>
      </c>
      <c r="H11" s="74"/>
      <c r="I11" s="102"/>
      <c r="J11" s="27"/>
      <c r="K11" s="127">
        <v>16</v>
      </c>
      <c r="L11" s="113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9" s="12" customFormat="1" ht="12" x14ac:dyDescent="0.2">
      <c r="A12" s="10" t="s">
        <v>20</v>
      </c>
      <c r="B12" s="10" t="s">
        <v>21</v>
      </c>
      <c r="C12" s="8" t="s">
        <v>343</v>
      </c>
      <c r="D12" s="8" t="s">
        <v>315</v>
      </c>
      <c r="E12" s="55">
        <v>42480</v>
      </c>
      <c r="F12" s="55">
        <v>42480</v>
      </c>
      <c r="G12" s="10" t="s">
        <v>18</v>
      </c>
      <c r="H12" s="74"/>
      <c r="I12" s="102"/>
      <c r="J12" s="27"/>
      <c r="K12" s="127">
        <v>12</v>
      </c>
      <c r="L12" s="113"/>
      <c r="M12" s="27"/>
      <c r="N12" s="27"/>
      <c r="O12" s="26">
        <f t="shared" si="0"/>
        <v>12</v>
      </c>
      <c r="P12" s="27"/>
      <c r="Q12" s="27"/>
      <c r="R12" s="26">
        <f t="shared" si="1"/>
        <v>12</v>
      </c>
    </row>
    <row r="13" spans="1:19" s="12" customFormat="1" ht="12" x14ac:dyDescent="0.2">
      <c r="A13" s="10" t="s">
        <v>20</v>
      </c>
      <c r="B13" s="10" t="s">
        <v>21</v>
      </c>
      <c r="C13" s="11" t="s">
        <v>107</v>
      </c>
      <c r="D13" s="8" t="s">
        <v>316</v>
      </c>
      <c r="E13" s="55">
        <v>42482</v>
      </c>
      <c r="F13" s="55">
        <v>42482</v>
      </c>
      <c r="G13" s="10" t="s">
        <v>18</v>
      </c>
      <c r="H13" s="74"/>
      <c r="I13" s="102"/>
      <c r="J13" s="27"/>
      <c r="K13" s="127">
        <v>13</v>
      </c>
      <c r="L13" s="113"/>
      <c r="M13" s="27"/>
      <c r="N13" s="27"/>
      <c r="O13" s="26">
        <f t="shared" si="0"/>
        <v>13</v>
      </c>
      <c r="P13" s="27"/>
      <c r="Q13" s="27"/>
      <c r="R13" s="26">
        <f t="shared" si="1"/>
        <v>13</v>
      </c>
    </row>
    <row r="14" spans="1:19" s="12" customFormat="1" ht="12" x14ac:dyDescent="0.2">
      <c r="A14" s="10" t="s">
        <v>20</v>
      </c>
      <c r="B14" s="10" t="s">
        <v>21</v>
      </c>
      <c r="C14" s="11" t="s">
        <v>188</v>
      </c>
      <c r="D14" s="8" t="s">
        <v>319</v>
      </c>
      <c r="E14" s="55">
        <v>42486</v>
      </c>
      <c r="F14" s="55">
        <v>42487</v>
      </c>
      <c r="G14" s="10" t="s">
        <v>47</v>
      </c>
      <c r="H14" s="74"/>
      <c r="I14" s="102"/>
      <c r="J14" s="126">
        <v>233.24</v>
      </c>
      <c r="K14" s="127">
        <f>13+21.6</f>
        <v>34.6</v>
      </c>
      <c r="L14" s="113"/>
      <c r="M14" s="27"/>
      <c r="N14" s="27"/>
      <c r="O14" s="26">
        <f t="shared" si="0"/>
        <v>267.84000000000003</v>
      </c>
      <c r="P14" s="27"/>
      <c r="Q14" s="27"/>
      <c r="R14" s="26">
        <f t="shared" si="1"/>
        <v>267.84000000000003</v>
      </c>
    </row>
    <row r="15" spans="1:19" s="12" customFormat="1" ht="12" x14ac:dyDescent="0.2">
      <c r="A15" s="10" t="s">
        <v>20</v>
      </c>
      <c r="B15" s="10" t="s">
        <v>21</v>
      </c>
      <c r="C15" s="11" t="s">
        <v>240</v>
      </c>
      <c r="D15" s="8" t="s">
        <v>314</v>
      </c>
      <c r="E15" s="55">
        <v>42495</v>
      </c>
      <c r="F15" s="55">
        <v>42496</v>
      </c>
      <c r="G15" s="10" t="s">
        <v>350</v>
      </c>
      <c r="H15" s="74"/>
      <c r="I15" s="102"/>
      <c r="J15" s="27"/>
      <c r="K15" s="127">
        <f>11.75+21.25</f>
        <v>33</v>
      </c>
      <c r="L15" s="113"/>
      <c r="M15" s="27"/>
      <c r="N15" s="27"/>
      <c r="O15" s="26">
        <f t="shared" si="0"/>
        <v>33</v>
      </c>
      <c r="P15" s="27"/>
      <c r="Q15" s="27"/>
      <c r="R15" s="26">
        <f t="shared" si="1"/>
        <v>33</v>
      </c>
    </row>
    <row r="16" spans="1:19" s="12" customFormat="1" ht="24" x14ac:dyDescent="0.2">
      <c r="A16" s="10" t="s">
        <v>20</v>
      </c>
      <c r="B16" s="10" t="s">
        <v>21</v>
      </c>
      <c r="C16" s="11" t="s">
        <v>107</v>
      </c>
      <c r="D16" s="8" t="s">
        <v>317</v>
      </c>
      <c r="E16" s="55">
        <v>42499</v>
      </c>
      <c r="F16" s="55">
        <v>42501</v>
      </c>
      <c r="G16" s="10" t="s">
        <v>180</v>
      </c>
      <c r="H16" s="74"/>
      <c r="I16" s="102"/>
      <c r="J16" s="126">
        <v>837.25</v>
      </c>
      <c r="K16" s="28"/>
      <c r="L16" s="113"/>
      <c r="M16" s="27"/>
      <c r="N16" s="27"/>
      <c r="O16" s="26">
        <f t="shared" si="0"/>
        <v>837.25</v>
      </c>
      <c r="P16" s="27"/>
      <c r="Q16" s="27"/>
      <c r="R16" s="26">
        <f t="shared" si="1"/>
        <v>837.25</v>
      </c>
      <c r="S16" s="117"/>
    </row>
    <row r="17" spans="1:21" s="12" customFormat="1" ht="12" x14ac:dyDescent="0.2">
      <c r="A17" s="10" t="s">
        <v>20</v>
      </c>
      <c r="B17" s="10" t="s">
        <v>21</v>
      </c>
      <c r="C17" s="11" t="s">
        <v>64</v>
      </c>
      <c r="D17" s="8" t="s">
        <v>310</v>
      </c>
      <c r="E17" s="55">
        <v>42514</v>
      </c>
      <c r="F17" s="55">
        <v>42514</v>
      </c>
      <c r="G17" s="10" t="s">
        <v>278</v>
      </c>
      <c r="H17" s="74"/>
      <c r="I17" s="102"/>
      <c r="J17" s="27"/>
      <c r="K17" s="127">
        <v>120</v>
      </c>
      <c r="L17" s="113"/>
      <c r="M17" s="27"/>
      <c r="N17" s="27"/>
      <c r="O17" s="26">
        <f t="shared" si="0"/>
        <v>120</v>
      </c>
      <c r="P17" s="27"/>
      <c r="Q17" s="27"/>
      <c r="R17" s="26">
        <f t="shared" si="1"/>
        <v>120</v>
      </c>
    </row>
    <row r="18" spans="1:21" s="12" customFormat="1" ht="12" x14ac:dyDescent="0.2">
      <c r="A18" s="10" t="s">
        <v>20</v>
      </c>
      <c r="B18" s="10" t="s">
        <v>21</v>
      </c>
      <c r="C18" s="11" t="s">
        <v>64</v>
      </c>
      <c r="D18" s="8" t="s">
        <v>310</v>
      </c>
      <c r="E18" s="55">
        <v>42516</v>
      </c>
      <c r="F18" s="55">
        <v>42516</v>
      </c>
      <c r="G18" s="10" t="s">
        <v>251</v>
      </c>
      <c r="H18" s="74"/>
      <c r="I18" s="102"/>
      <c r="J18" s="27"/>
      <c r="K18" s="127">
        <f>212.5+16.55</f>
        <v>229.05</v>
      </c>
      <c r="L18" s="113"/>
      <c r="M18" s="27"/>
      <c r="N18" s="27"/>
      <c r="O18" s="26">
        <f t="shared" si="0"/>
        <v>229.05</v>
      </c>
      <c r="P18" s="27"/>
      <c r="Q18" s="27"/>
      <c r="R18" s="26">
        <f t="shared" si="1"/>
        <v>229.05</v>
      </c>
    </row>
    <row r="19" spans="1:21" s="12" customFormat="1" ht="12" x14ac:dyDescent="0.2">
      <c r="A19" s="10" t="s">
        <v>20</v>
      </c>
      <c r="B19" s="10" t="s">
        <v>21</v>
      </c>
      <c r="C19" s="11" t="s">
        <v>64</v>
      </c>
      <c r="D19" s="8" t="s">
        <v>310</v>
      </c>
      <c r="E19" s="55">
        <v>42517</v>
      </c>
      <c r="F19" s="55">
        <v>42518</v>
      </c>
      <c r="G19" s="10" t="s">
        <v>341</v>
      </c>
      <c r="H19" s="74" t="s">
        <v>323</v>
      </c>
      <c r="I19" s="102"/>
      <c r="J19" s="126">
        <f>281.12+198.12+30</f>
        <v>509.24</v>
      </c>
      <c r="K19" s="127">
        <f>71.81+88.4+29.65</f>
        <v>189.86</v>
      </c>
      <c r="L19" s="128">
        <v>124</v>
      </c>
      <c r="M19" s="126">
        <v>22.5</v>
      </c>
      <c r="N19" s="27"/>
      <c r="O19" s="26">
        <f t="shared" si="0"/>
        <v>845.6</v>
      </c>
      <c r="P19" s="27"/>
      <c r="Q19" s="27"/>
      <c r="R19" s="26">
        <f t="shared" si="1"/>
        <v>845.6</v>
      </c>
    </row>
    <row r="20" spans="1:21" s="12" customFormat="1" ht="12" x14ac:dyDescent="0.2">
      <c r="A20" s="10" t="s">
        <v>20</v>
      </c>
      <c r="B20" s="10" t="s">
        <v>21</v>
      </c>
      <c r="C20" s="11" t="s">
        <v>64</v>
      </c>
      <c r="D20" s="8" t="s">
        <v>310</v>
      </c>
      <c r="E20" s="55">
        <v>42520</v>
      </c>
      <c r="F20" s="55">
        <v>42520</v>
      </c>
      <c r="G20" s="10" t="s">
        <v>129</v>
      </c>
      <c r="H20" s="74"/>
      <c r="I20" s="102"/>
      <c r="J20" s="27"/>
      <c r="K20" s="127">
        <v>64</v>
      </c>
      <c r="L20" s="113"/>
      <c r="M20" s="27"/>
      <c r="N20" s="27"/>
      <c r="O20" s="26">
        <f t="shared" si="0"/>
        <v>64</v>
      </c>
      <c r="P20" s="27"/>
      <c r="Q20" s="27"/>
      <c r="R20" s="26">
        <f t="shared" si="1"/>
        <v>64</v>
      </c>
    </row>
    <row r="21" spans="1:21" s="9" customFormat="1" ht="12" x14ac:dyDescent="0.2">
      <c r="A21" s="10" t="s">
        <v>20</v>
      </c>
      <c r="B21" s="10" t="s">
        <v>21</v>
      </c>
      <c r="C21" s="11" t="s">
        <v>64</v>
      </c>
      <c r="D21" s="8" t="s">
        <v>310</v>
      </c>
      <c r="E21" s="55">
        <v>42521</v>
      </c>
      <c r="F21" s="55">
        <v>42521</v>
      </c>
      <c r="G21" s="10" t="s">
        <v>347</v>
      </c>
      <c r="H21" s="74"/>
      <c r="I21" s="102"/>
      <c r="J21" s="27"/>
      <c r="K21" s="127">
        <v>106.4</v>
      </c>
      <c r="L21" s="113"/>
      <c r="M21" s="27"/>
      <c r="N21" s="27"/>
      <c r="O21" s="26">
        <f t="shared" si="0"/>
        <v>106.4</v>
      </c>
      <c r="P21" s="27"/>
      <c r="Q21" s="27"/>
      <c r="R21" s="26">
        <f t="shared" si="1"/>
        <v>106.4</v>
      </c>
      <c r="S21" s="117"/>
    </row>
    <row r="22" spans="1:21" s="9" customFormat="1" ht="12" x14ac:dyDescent="0.2">
      <c r="A22" s="10" t="s">
        <v>20</v>
      </c>
      <c r="B22" s="10" t="s">
        <v>21</v>
      </c>
      <c r="C22" s="11" t="s">
        <v>64</v>
      </c>
      <c r="D22" s="8" t="s">
        <v>310</v>
      </c>
      <c r="E22" s="55">
        <v>42523</v>
      </c>
      <c r="F22" s="55">
        <v>42523</v>
      </c>
      <c r="G22" s="10" t="s">
        <v>22</v>
      </c>
      <c r="H22" s="74"/>
      <c r="I22" s="102"/>
      <c r="J22" s="27"/>
      <c r="K22" s="127">
        <v>88</v>
      </c>
      <c r="L22" s="113"/>
      <c r="M22" s="27"/>
      <c r="N22" s="27"/>
      <c r="O22" s="26">
        <f t="shared" si="0"/>
        <v>88</v>
      </c>
      <c r="P22" s="27"/>
      <c r="Q22" s="27"/>
      <c r="R22" s="26">
        <f t="shared" si="1"/>
        <v>88</v>
      </c>
      <c r="S22" s="12"/>
    </row>
    <row r="23" spans="1:21" s="9" customFormat="1" ht="12" x14ac:dyDescent="0.2">
      <c r="A23" s="10" t="s">
        <v>20</v>
      </c>
      <c r="B23" s="10" t="s">
        <v>21</v>
      </c>
      <c r="C23" s="11" t="s">
        <v>64</v>
      </c>
      <c r="D23" s="8" t="s">
        <v>310</v>
      </c>
      <c r="E23" s="55">
        <v>42524</v>
      </c>
      <c r="F23" s="55">
        <v>42525</v>
      </c>
      <c r="G23" s="10" t="s">
        <v>351</v>
      </c>
      <c r="H23" s="74"/>
      <c r="I23" s="102"/>
      <c r="J23" s="126">
        <f>98.12+20+117.12</f>
        <v>235.24</v>
      </c>
      <c r="K23" s="127">
        <f>144.5+65.73+12</f>
        <v>222.23000000000002</v>
      </c>
      <c r="L23" s="128">
        <v>109</v>
      </c>
      <c r="M23" s="126">
        <v>4.8600000000000003</v>
      </c>
      <c r="N23" s="27"/>
      <c r="O23" s="26">
        <f t="shared" si="0"/>
        <v>571.33000000000004</v>
      </c>
      <c r="P23" s="27"/>
      <c r="Q23" s="27"/>
      <c r="R23" s="26">
        <f t="shared" si="1"/>
        <v>571.33000000000004</v>
      </c>
      <c r="S23" s="12"/>
    </row>
    <row r="24" spans="1:21" s="12" customFormat="1" ht="12" x14ac:dyDescent="0.2">
      <c r="A24" s="10" t="s">
        <v>20</v>
      </c>
      <c r="B24" s="10" t="s">
        <v>21</v>
      </c>
      <c r="C24" s="11" t="s">
        <v>344</v>
      </c>
      <c r="D24" s="10" t="s">
        <v>322</v>
      </c>
      <c r="E24" s="55">
        <v>42527</v>
      </c>
      <c r="F24" s="55">
        <v>42527</v>
      </c>
      <c r="G24" s="10" t="s">
        <v>18</v>
      </c>
      <c r="H24" s="27" t="s">
        <v>205</v>
      </c>
      <c r="I24" s="27"/>
      <c r="J24" s="27"/>
      <c r="K24" s="28"/>
      <c r="L24" s="27"/>
      <c r="M24" s="126">
        <v>22.5</v>
      </c>
      <c r="N24" s="27"/>
      <c r="O24" s="26">
        <f t="shared" si="0"/>
        <v>22.5</v>
      </c>
      <c r="P24" s="27"/>
      <c r="Q24" s="27"/>
      <c r="R24" s="26">
        <f t="shared" si="1"/>
        <v>22.5</v>
      </c>
      <c r="S24" s="9"/>
    </row>
    <row r="25" spans="1:21" s="49" customFormat="1" ht="12" x14ac:dyDescent="0.2">
      <c r="A25" s="10" t="s">
        <v>20</v>
      </c>
      <c r="B25" s="10" t="s">
        <v>21</v>
      </c>
      <c r="C25" s="11" t="s">
        <v>64</v>
      </c>
      <c r="D25" s="8" t="s">
        <v>310</v>
      </c>
      <c r="E25" s="55">
        <v>42529</v>
      </c>
      <c r="F25" s="55">
        <v>42529</v>
      </c>
      <c r="G25" s="10" t="s">
        <v>296</v>
      </c>
      <c r="H25" s="74"/>
      <c r="I25" s="102"/>
      <c r="J25" s="27"/>
      <c r="K25" s="127">
        <v>100</v>
      </c>
      <c r="L25" s="113"/>
      <c r="M25" s="27"/>
      <c r="N25" s="27"/>
      <c r="O25" s="26">
        <f t="shared" si="0"/>
        <v>100</v>
      </c>
      <c r="P25" s="27"/>
      <c r="Q25" s="27"/>
      <c r="R25" s="26">
        <f t="shared" si="1"/>
        <v>100</v>
      </c>
      <c r="S25" s="12"/>
    </row>
    <row r="26" spans="1:21" s="49" customFormat="1" ht="12" x14ac:dyDescent="0.2">
      <c r="A26" s="10" t="s">
        <v>20</v>
      </c>
      <c r="B26" s="10" t="s">
        <v>21</v>
      </c>
      <c r="C26" s="8" t="s">
        <v>345</v>
      </c>
      <c r="D26" s="10" t="s">
        <v>328</v>
      </c>
      <c r="E26" s="55">
        <v>42538</v>
      </c>
      <c r="F26" s="55">
        <v>42540</v>
      </c>
      <c r="G26" s="10" t="s">
        <v>171</v>
      </c>
      <c r="H26" s="27"/>
      <c r="I26" s="27"/>
      <c r="J26" s="126">
        <v>1017.83</v>
      </c>
      <c r="K26" s="28"/>
      <c r="L26" s="27"/>
      <c r="M26" s="27"/>
      <c r="N26" s="27"/>
      <c r="O26" s="26">
        <f t="shared" si="0"/>
        <v>1017.83</v>
      </c>
      <c r="P26" s="27"/>
      <c r="Q26" s="27"/>
      <c r="R26" s="26">
        <f t="shared" si="1"/>
        <v>1017.83</v>
      </c>
      <c r="S26" s="9"/>
    </row>
    <row r="27" spans="1:21" s="9" customFormat="1" ht="24" x14ac:dyDescent="0.2">
      <c r="A27" s="7" t="s">
        <v>389</v>
      </c>
      <c r="B27" s="8" t="s">
        <v>34</v>
      </c>
      <c r="C27" s="13" t="s">
        <v>346</v>
      </c>
      <c r="D27" s="13" t="s">
        <v>238</v>
      </c>
      <c r="E27" s="55">
        <v>42529</v>
      </c>
      <c r="F27" s="55">
        <v>42529</v>
      </c>
      <c r="G27" s="57" t="s">
        <v>128</v>
      </c>
      <c r="H27" s="7"/>
      <c r="I27" s="7"/>
      <c r="J27" s="46">
        <f>153</f>
        <v>153</v>
      </c>
      <c r="K27" s="129">
        <f>10.95</f>
        <v>10.95</v>
      </c>
      <c r="L27" s="114"/>
      <c r="M27" s="46"/>
      <c r="N27" s="46"/>
      <c r="O27" s="47">
        <f t="shared" ref="O27:O33" si="2">SUM(J27:N27)</f>
        <v>163.95</v>
      </c>
      <c r="P27" s="46"/>
      <c r="Q27" s="46"/>
      <c r="R27" s="47">
        <f t="shared" ref="R27:R33" si="3">SUM(O27:Q27)</f>
        <v>163.95</v>
      </c>
    </row>
    <row r="28" spans="1:21" s="49" customFormat="1" ht="24" x14ac:dyDescent="0.2">
      <c r="A28" s="7" t="s">
        <v>389</v>
      </c>
      <c r="B28" s="8" t="s">
        <v>34</v>
      </c>
      <c r="C28" s="8" t="s">
        <v>288</v>
      </c>
      <c r="D28" s="20" t="s">
        <v>290</v>
      </c>
      <c r="E28" s="55">
        <v>42490</v>
      </c>
      <c r="F28" s="55">
        <v>42494</v>
      </c>
      <c r="G28" s="57" t="s">
        <v>291</v>
      </c>
      <c r="H28" s="7"/>
      <c r="I28" s="7"/>
      <c r="J28" s="129">
        <v>15</v>
      </c>
      <c r="K28" s="46"/>
      <c r="L28" s="114"/>
      <c r="M28" s="46"/>
      <c r="N28" s="46"/>
      <c r="O28" s="47">
        <f t="shared" si="2"/>
        <v>15</v>
      </c>
      <c r="P28" s="46"/>
      <c r="Q28" s="46"/>
      <c r="R28" s="47">
        <f t="shared" si="3"/>
        <v>15</v>
      </c>
      <c r="S28" s="111"/>
      <c r="T28" s="9"/>
      <c r="U28" s="9"/>
    </row>
    <row r="29" spans="1:21" s="12" customFormat="1" ht="24" x14ac:dyDescent="0.2">
      <c r="A29" s="7" t="s">
        <v>389</v>
      </c>
      <c r="B29" s="8" t="s">
        <v>34</v>
      </c>
      <c r="C29" s="8" t="s">
        <v>72</v>
      </c>
      <c r="D29" s="13" t="s">
        <v>238</v>
      </c>
      <c r="E29" s="55">
        <v>42517</v>
      </c>
      <c r="F29" s="55">
        <v>42518</v>
      </c>
      <c r="G29" s="13" t="s">
        <v>118</v>
      </c>
      <c r="H29" s="7"/>
      <c r="I29" s="7"/>
      <c r="J29" s="133">
        <f>244.12+261.12</f>
        <v>505.24</v>
      </c>
      <c r="K29" s="129">
        <v>19.25</v>
      </c>
      <c r="L29" s="129">
        <v>109</v>
      </c>
      <c r="M29" s="129">
        <v>7.75</v>
      </c>
      <c r="N29" s="46"/>
      <c r="O29" s="47">
        <f t="shared" si="2"/>
        <v>641.24</v>
      </c>
      <c r="P29" s="46"/>
      <c r="Q29" s="46"/>
      <c r="R29" s="47">
        <f t="shared" si="3"/>
        <v>641.24</v>
      </c>
      <c r="S29" s="9"/>
      <c r="T29" s="9"/>
      <c r="U29" s="9"/>
    </row>
    <row r="30" spans="1:21" s="9" customFormat="1" ht="24" x14ac:dyDescent="0.2">
      <c r="A30" s="7" t="s">
        <v>389</v>
      </c>
      <c r="B30" s="8" t="s">
        <v>34</v>
      </c>
      <c r="C30" s="8" t="s">
        <v>72</v>
      </c>
      <c r="D30" s="13" t="s">
        <v>238</v>
      </c>
      <c r="E30" s="55">
        <v>42524</v>
      </c>
      <c r="F30" s="55">
        <v>42525</v>
      </c>
      <c r="G30" s="13" t="s">
        <v>388</v>
      </c>
      <c r="H30" s="7"/>
      <c r="I30" s="7"/>
      <c r="J30" s="7">
        <f>25+646.25+162.12+20+10</f>
        <v>863.37</v>
      </c>
      <c r="K30" s="46">
        <f>10.62</f>
        <v>10.62</v>
      </c>
      <c r="L30" s="131">
        <v>109.13</v>
      </c>
      <c r="M30" s="46"/>
      <c r="N30" s="46"/>
      <c r="O30" s="47">
        <f t="shared" si="2"/>
        <v>983.12</v>
      </c>
      <c r="P30" s="46"/>
      <c r="Q30" s="46"/>
      <c r="R30" s="47">
        <f t="shared" si="3"/>
        <v>983.12</v>
      </c>
    </row>
    <row r="31" spans="1:21" s="9" customFormat="1" ht="24" x14ac:dyDescent="0.2">
      <c r="A31" s="7" t="s">
        <v>389</v>
      </c>
      <c r="B31" s="8" t="s">
        <v>34</v>
      </c>
      <c r="C31" s="8" t="s">
        <v>72</v>
      </c>
      <c r="D31" s="13" t="s">
        <v>238</v>
      </c>
      <c r="E31" s="55">
        <v>42520</v>
      </c>
      <c r="F31" s="55">
        <v>42521</v>
      </c>
      <c r="G31" s="13" t="s">
        <v>384</v>
      </c>
      <c r="H31" s="7"/>
      <c r="I31" s="7"/>
      <c r="J31" s="7">
        <f>138.12+20</f>
        <v>158.12</v>
      </c>
      <c r="K31" s="46">
        <f>12.25+10.62</f>
        <v>22.869999999999997</v>
      </c>
      <c r="L31" s="131"/>
      <c r="M31" s="46"/>
      <c r="N31" s="46"/>
      <c r="O31" s="47">
        <f>SUM(J31:N31)</f>
        <v>180.99</v>
      </c>
      <c r="P31" s="46"/>
      <c r="Q31" s="46"/>
      <c r="R31" s="47">
        <f t="shared" si="3"/>
        <v>180.99</v>
      </c>
    </row>
    <row r="32" spans="1:21" s="9" customFormat="1" ht="24" x14ac:dyDescent="0.2">
      <c r="A32" s="7" t="s">
        <v>389</v>
      </c>
      <c r="B32" s="8" t="s">
        <v>34</v>
      </c>
      <c r="C32" s="8" t="s">
        <v>72</v>
      </c>
      <c r="D32" s="13" t="s">
        <v>238</v>
      </c>
      <c r="E32" s="55">
        <v>42523</v>
      </c>
      <c r="F32" s="55">
        <v>42523</v>
      </c>
      <c r="G32" s="13" t="s">
        <v>47</v>
      </c>
      <c r="H32" s="7"/>
      <c r="I32" s="7"/>
      <c r="J32" s="7">
        <f>381.25+40</f>
        <v>421.25</v>
      </c>
      <c r="K32" s="46"/>
      <c r="L32" s="131"/>
      <c r="M32" s="46"/>
      <c r="N32" s="46"/>
      <c r="O32" s="47">
        <f t="shared" si="2"/>
        <v>421.25</v>
      </c>
      <c r="P32" s="46"/>
      <c r="Q32" s="46"/>
      <c r="R32" s="47">
        <f t="shared" si="3"/>
        <v>421.25</v>
      </c>
    </row>
    <row r="33" spans="1:21" s="87" customFormat="1" ht="24" x14ac:dyDescent="0.2">
      <c r="A33" s="7" t="s">
        <v>389</v>
      </c>
      <c r="B33" s="8" t="s">
        <v>34</v>
      </c>
      <c r="C33" s="13" t="s">
        <v>346</v>
      </c>
      <c r="D33" s="13" t="s">
        <v>335</v>
      </c>
      <c r="E33" s="55">
        <v>42529</v>
      </c>
      <c r="F33" s="55">
        <v>42529</v>
      </c>
      <c r="G33" s="13" t="s">
        <v>352</v>
      </c>
      <c r="H33" s="7"/>
      <c r="I33" s="7"/>
      <c r="J33" s="46">
        <f>556.24</f>
        <v>556.24</v>
      </c>
      <c r="K33" s="46"/>
      <c r="L33" s="114"/>
      <c r="M33" s="46"/>
      <c r="N33" s="46"/>
      <c r="O33" s="47">
        <f t="shared" si="2"/>
        <v>556.24</v>
      </c>
      <c r="P33" s="46"/>
      <c r="Q33" s="46"/>
      <c r="R33" s="47">
        <f t="shared" si="3"/>
        <v>556.24</v>
      </c>
      <c r="S33" s="9"/>
      <c r="T33" s="9"/>
      <c r="U33" s="9"/>
    </row>
    <row r="34" spans="1:21" s="12" customFormat="1" ht="24" x14ac:dyDescent="0.2">
      <c r="A34" s="7" t="s">
        <v>31</v>
      </c>
      <c r="B34" s="14" t="s">
        <v>139</v>
      </c>
      <c r="C34" s="8" t="s">
        <v>201</v>
      </c>
      <c r="D34" s="13" t="s">
        <v>334</v>
      </c>
      <c r="E34" s="55">
        <v>42496</v>
      </c>
      <c r="F34" s="55">
        <v>42496</v>
      </c>
      <c r="G34" s="13" t="s">
        <v>47</v>
      </c>
      <c r="H34" s="52"/>
      <c r="I34" s="74"/>
      <c r="J34" s="127">
        <f>233.25</f>
        <v>233.25</v>
      </c>
      <c r="K34" s="46"/>
      <c r="L34" s="113"/>
      <c r="M34" s="28"/>
      <c r="N34" s="28"/>
      <c r="O34" s="47">
        <f t="shared" si="0"/>
        <v>233.25</v>
      </c>
      <c r="P34" s="28"/>
      <c r="Q34" s="28"/>
      <c r="R34" s="47">
        <f t="shared" si="1"/>
        <v>233.25</v>
      </c>
      <c r="S34" s="118"/>
    </row>
    <row r="35" spans="1:21" s="12" customFormat="1" ht="24" x14ac:dyDescent="0.2">
      <c r="A35" s="7" t="s">
        <v>31</v>
      </c>
      <c r="B35" s="14" t="s">
        <v>139</v>
      </c>
      <c r="C35" s="8" t="s">
        <v>346</v>
      </c>
      <c r="D35" s="13" t="s">
        <v>336</v>
      </c>
      <c r="E35" s="55">
        <v>42509</v>
      </c>
      <c r="F35" s="55">
        <v>42509</v>
      </c>
      <c r="G35" s="13" t="s">
        <v>99</v>
      </c>
      <c r="H35" s="52"/>
      <c r="I35" s="74"/>
      <c r="J35" s="129">
        <v>342</v>
      </c>
      <c r="K35" s="127">
        <f>69.59+6.3+20+2</f>
        <v>97.89</v>
      </c>
      <c r="L35" s="113"/>
      <c r="M35" s="28"/>
      <c r="N35" s="28"/>
      <c r="O35" s="47">
        <f t="shared" ref="O35:O61" si="4">SUM(J35:N35)</f>
        <v>439.89</v>
      </c>
      <c r="P35" s="28"/>
      <c r="Q35" s="28"/>
      <c r="R35" s="47">
        <f t="shared" si="1"/>
        <v>439.89</v>
      </c>
      <c r="S35" s="9"/>
    </row>
    <row r="36" spans="1:21" s="12" customFormat="1" ht="24" x14ac:dyDescent="0.2">
      <c r="A36" s="7" t="s">
        <v>31</v>
      </c>
      <c r="B36" s="14" t="s">
        <v>139</v>
      </c>
      <c r="C36" s="8" t="s">
        <v>72</v>
      </c>
      <c r="D36" s="13" t="s">
        <v>310</v>
      </c>
      <c r="E36" s="55">
        <v>42524</v>
      </c>
      <c r="F36" s="55">
        <v>42524</v>
      </c>
      <c r="G36" s="13" t="s">
        <v>166</v>
      </c>
      <c r="H36" s="52"/>
      <c r="I36" s="74"/>
      <c r="J36" s="46"/>
      <c r="K36" s="127">
        <v>74.8</v>
      </c>
      <c r="L36" s="113"/>
      <c r="M36" s="28"/>
      <c r="N36" s="28"/>
      <c r="O36" s="47">
        <f>SUM(J36:N36)</f>
        <v>74.8</v>
      </c>
      <c r="P36" s="28"/>
      <c r="Q36" s="28"/>
      <c r="R36" s="47">
        <f>SUM(O36:Q36)</f>
        <v>74.8</v>
      </c>
      <c r="S36" s="118"/>
      <c r="T36" s="117"/>
    </row>
    <row r="37" spans="1:21" s="12" customFormat="1" ht="24" x14ac:dyDescent="0.2">
      <c r="A37" s="7" t="s">
        <v>31</v>
      </c>
      <c r="B37" s="14" t="s">
        <v>139</v>
      </c>
      <c r="C37" s="8" t="s">
        <v>346</v>
      </c>
      <c r="D37" s="13" t="s">
        <v>348</v>
      </c>
      <c r="E37" s="55">
        <v>42529</v>
      </c>
      <c r="F37" s="55">
        <v>42529</v>
      </c>
      <c r="G37" s="13" t="s">
        <v>166</v>
      </c>
      <c r="H37" s="52"/>
      <c r="I37" s="74"/>
      <c r="J37" s="46"/>
      <c r="K37" s="127">
        <v>74.8</v>
      </c>
      <c r="L37" s="113"/>
      <c r="M37" s="28"/>
      <c r="N37" s="28"/>
      <c r="O37" s="47">
        <f t="shared" si="4"/>
        <v>74.8</v>
      </c>
      <c r="P37" s="28"/>
      <c r="Q37" s="28"/>
      <c r="R37" s="47">
        <f t="shared" si="1"/>
        <v>74.8</v>
      </c>
      <c r="S37" s="118"/>
      <c r="T37" s="117"/>
    </row>
    <row r="38" spans="1:21" s="12" customFormat="1" ht="24" x14ac:dyDescent="0.2">
      <c r="A38" s="7" t="s">
        <v>31</v>
      </c>
      <c r="B38" s="14" t="s">
        <v>139</v>
      </c>
      <c r="C38" s="8" t="s">
        <v>186</v>
      </c>
      <c r="D38" s="13" t="s">
        <v>303</v>
      </c>
      <c r="E38" s="55">
        <v>42526</v>
      </c>
      <c r="F38" s="55">
        <v>42530</v>
      </c>
      <c r="G38" s="13" t="s">
        <v>287</v>
      </c>
      <c r="H38" s="52"/>
      <c r="I38" s="74"/>
      <c r="J38" s="129">
        <f>52.5</f>
        <v>52.5</v>
      </c>
      <c r="K38" s="28"/>
      <c r="L38" s="113"/>
      <c r="M38" s="28"/>
      <c r="N38" s="28"/>
      <c r="O38" s="47">
        <f t="shared" si="4"/>
        <v>52.5</v>
      </c>
      <c r="P38" s="28"/>
      <c r="Q38" s="28"/>
      <c r="R38" s="47">
        <f t="shared" si="1"/>
        <v>52.5</v>
      </c>
      <c r="S38" s="9"/>
    </row>
    <row r="39" spans="1:21" s="12" customFormat="1" ht="12" x14ac:dyDescent="0.2">
      <c r="A39" s="37" t="s">
        <v>1</v>
      </c>
      <c r="B39" s="18" t="s">
        <v>25</v>
      </c>
      <c r="C39" s="11" t="s">
        <v>55</v>
      </c>
      <c r="D39" s="18"/>
      <c r="E39" s="55">
        <v>42543</v>
      </c>
      <c r="F39" s="55">
        <v>42544</v>
      </c>
      <c r="G39" s="13" t="s">
        <v>18</v>
      </c>
      <c r="H39" s="39"/>
      <c r="I39" s="39"/>
      <c r="J39" s="46"/>
      <c r="K39" s="127">
        <v>120</v>
      </c>
      <c r="L39" s="128">
        <v>173.5</v>
      </c>
      <c r="M39" s="28"/>
      <c r="N39" s="40"/>
      <c r="O39" s="26">
        <f t="shared" si="4"/>
        <v>293.5</v>
      </c>
      <c r="P39" s="40"/>
      <c r="Q39" s="40"/>
      <c r="R39" s="26">
        <f>SUM(O39:P39:Q39)</f>
        <v>293.5</v>
      </c>
      <c r="S39" s="9"/>
    </row>
    <row r="40" spans="1:21" s="12" customFormat="1" ht="12" x14ac:dyDescent="0.2">
      <c r="A40" s="37" t="s">
        <v>50</v>
      </c>
      <c r="B40" s="18" t="s">
        <v>25</v>
      </c>
      <c r="C40" s="11" t="s">
        <v>55</v>
      </c>
      <c r="D40" s="18"/>
      <c r="E40" s="55">
        <v>42543</v>
      </c>
      <c r="F40" s="55">
        <v>42544</v>
      </c>
      <c r="G40" s="13" t="s">
        <v>18</v>
      </c>
      <c r="H40" s="39"/>
      <c r="I40" s="39"/>
      <c r="J40" s="28"/>
      <c r="K40" s="28"/>
      <c r="L40" s="128">
        <v>173.5</v>
      </c>
      <c r="M40" s="28"/>
      <c r="N40" s="40"/>
      <c r="O40" s="26">
        <f t="shared" si="4"/>
        <v>173.5</v>
      </c>
      <c r="P40" s="40"/>
      <c r="Q40" s="40"/>
      <c r="R40" s="26">
        <f>SUM(O40:P40:Q40)</f>
        <v>173.5</v>
      </c>
    </row>
    <row r="41" spans="1:21" s="9" customFormat="1" ht="12" x14ac:dyDescent="0.2">
      <c r="A41" s="37" t="s">
        <v>205</v>
      </c>
      <c r="B41" s="18" t="s">
        <v>37</v>
      </c>
      <c r="C41" s="11" t="s">
        <v>64</v>
      </c>
      <c r="D41" s="8" t="s">
        <v>310</v>
      </c>
      <c r="E41" s="58">
        <v>42521</v>
      </c>
      <c r="F41" s="58">
        <v>42521</v>
      </c>
      <c r="G41" s="57" t="s">
        <v>326</v>
      </c>
      <c r="H41" s="37"/>
      <c r="I41" s="37"/>
      <c r="J41" s="105"/>
      <c r="K41" s="129">
        <v>75</v>
      </c>
      <c r="L41" s="105"/>
      <c r="M41" s="105"/>
      <c r="N41" s="48"/>
      <c r="O41" s="47">
        <f t="shared" si="4"/>
        <v>75</v>
      </c>
      <c r="P41" s="48"/>
      <c r="Q41" s="48"/>
      <c r="R41" s="47">
        <f>SUM(O41:P41:Q41)</f>
        <v>75</v>
      </c>
    </row>
    <row r="42" spans="1:21" s="12" customFormat="1" ht="24" x14ac:dyDescent="0.2">
      <c r="A42" s="37" t="s">
        <v>2</v>
      </c>
      <c r="B42" s="18" t="s">
        <v>19</v>
      </c>
      <c r="C42" s="18" t="s">
        <v>170</v>
      </c>
      <c r="D42" s="18"/>
      <c r="E42" s="58">
        <v>42500</v>
      </c>
      <c r="F42" s="58">
        <v>42501</v>
      </c>
      <c r="G42" s="18" t="s">
        <v>118</v>
      </c>
      <c r="H42" s="37"/>
      <c r="I42" s="37"/>
      <c r="J42" s="129">
        <f>251.12+255.12</f>
        <v>506.24</v>
      </c>
      <c r="K42" s="130">
        <f>18+57</f>
        <v>75</v>
      </c>
      <c r="L42" s="131">
        <v>124</v>
      </c>
      <c r="M42" s="129">
        <v>26.5</v>
      </c>
      <c r="N42" s="48"/>
      <c r="O42" s="47">
        <f t="shared" si="4"/>
        <v>731.74</v>
      </c>
      <c r="P42" s="48"/>
      <c r="Q42" s="48"/>
      <c r="R42" s="47">
        <f t="shared" ref="R42:R47" si="5">SUM(O42:Q42)</f>
        <v>731.74</v>
      </c>
    </row>
    <row r="43" spans="1:21" s="12" customFormat="1" ht="24" x14ac:dyDescent="0.2">
      <c r="A43" s="37" t="s">
        <v>133</v>
      </c>
      <c r="B43" s="8" t="s">
        <v>308</v>
      </c>
      <c r="C43" s="11" t="s">
        <v>186</v>
      </c>
      <c r="D43" s="18" t="s">
        <v>283</v>
      </c>
      <c r="E43" s="58">
        <v>42443</v>
      </c>
      <c r="F43" s="58">
        <v>42445</v>
      </c>
      <c r="G43" s="57" t="s">
        <v>284</v>
      </c>
      <c r="H43" s="37"/>
      <c r="I43" s="37"/>
      <c r="J43" s="46"/>
      <c r="K43" s="132">
        <f>55.2+58.94+56.89+56.64</f>
        <v>227.67000000000002</v>
      </c>
      <c r="L43" s="114"/>
      <c r="M43" s="129">
        <f>16+11.86+14.26</f>
        <v>42.12</v>
      </c>
      <c r="N43" s="48"/>
      <c r="O43" s="47">
        <f t="shared" si="4"/>
        <v>269.79000000000002</v>
      </c>
      <c r="P43" s="48"/>
      <c r="Q43" s="48"/>
      <c r="R43" s="47">
        <f t="shared" si="5"/>
        <v>269.79000000000002</v>
      </c>
      <c r="S43" s="118"/>
    </row>
    <row r="44" spans="1:21" s="12" customFormat="1" ht="24" x14ac:dyDescent="0.2">
      <c r="A44" s="37" t="s">
        <v>133</v>
      </c>
      <c r="B44" s="8" t="s">
        <v>308</v>
      </c>
      <c r="C44" s="11" t="s">
        <v>186</v>
      </c>
      <c r="D44" s="18" t="s">
        <v>353</v>
      </c>
      <c r="E44" s="58">
        <v>42480</v>
      </c>
      <c r="F44" s="58">
        <v>42480</v>
      </c>
      <c r="G44" s="57" t="s">
        <v>18</v>
      </c>
      <c r="H44" s="37"/>
      <c r="I44" s="37"/>
      <c r="J44" s="46"/>
      <c r="K44" s="51">
        <v>10</v>
      </c>
      <c r="L44" s="114"/>
      <c r="M44" s="46"/>
      <c r="N44" s="48"/>
      <c r="O44" s="47">
        <f t="shared" si="4"/>
        <v>10</v>
      </c>
      <c r="P44" s="48"/>
      <c r="Q44" s="48"/>
      <c r="R44" s="47">
        <f t="shared" si="5"/>
        <v>10</v>
      </c>
      <c r="S44" s="118"/>
    </row>
    <row r="45" spans="1:21" s="72" customFormat="1" ht="24" x14ac:dyDescent="0.2">
      <c r="A45" s="37" t="s">
        <v>133</v>
      </c>
      <c r="B45" s="8" t="s">
        <v>308</v>
      </c>
      <c r="C45" s="8" t="s">
        <v>201</v>
      </c>
      <c r="D45" s="8" t="s">
        <v>330</v>
      </c>
      <c r="E45" s="55">
        <v>42489</v>
      </c>
      <c r="F45" s="55">
        <v>42489</v>
      </c>
      <c r="G45" s="57" t="s">
        <v>18</v>
      </c>
      <c r="H45" s="37"/>
      <c r="I45" s="37"/>
      <c r="J45" s="46"/>
      <c r="K45" s="132">
        <v>13</v>
      </c>
      <c r="L45" s="114"/>
      <c r="M45" s="46"/>
      <c r="N45" s="48"/>
      <c r="O45" s="47">
        <f t="shared" si="4"/>
        <v>13</v>
      </c>
      <c r="P45" s="48"/>
      <c r="Q45" s="48"/>
      <c r="R45" s="47">
        <f t="shared" si="5"/>
        <v>13</v>
      </c>
      <c r="S45" s="118"/>
    </row>
    <row r="46" spans="1:21" s="72" customFormat="1" ht="24" x14ac:dyDescent="0.2">
      <c r="A46" s="37" t="s">
        <v>133</v>
      </c>
      <c r="B46" s="8" t="s">
        <v>308</v>
      </c>
      <c r="C46" s="8" t="s">
        <v>201</v>
      </c>
      <c r="D46" s="8" t="s">
        <v>331</v>
      </c>
      <c r="E46" s="55">
        <v>42515</v>
      </c>
      <c r="F46" s="55">
        <v>42515</v>
      </c>
      <c r="G46" s="57" t="s">
        <v>47</v>
      </c>
      <c r="H46" s="37"/>
      <c r="I46" s="37"/>
      <c r="J46" s="129">
        <f>465.25+84.75</f>
        <v>550</v>
      </c>
      <c r="K46" s="132">
        <f>28.64+15</f>
        <v>43.64</v>
      </c>
      <c r="L46" s="114"/>
      <c r="M46" s="129">
        <v>3.79</v>
      </c>
      <c r="N46" s="48"/>
      <c r="O46" s="47">
        <f t="shared" si="4"/>
        <v>597.42999999999995</v>
      </c>
      <c r="P46" s="48"/>
      <c r="Q46" s="48"/>
      <c r="R46" s="47">
        <f t="shared" si="5"/>
        <v>597.42999999999995</v>
      </c>
      <c r="S46" s="9"/>
    </row>
    <row r="47" spans="1:21" s="72" customFormat="1" ht="12" x14ac:dyDescent="0.2">
      <c r="A47" s="10" t="s">
        <v>148</v>
      </c>
      <c r="B47" s="10" t="s">
        <v>25</v>
      </c>
      <c r="C47" s="11" t="s">
        <v>55</v>
      </c>
      <c r="D47" s="20"/>
      <c r="E47" s="55">
        <v>42543</v>
      </c>
      <c r="F47" s="55">
        <v>42544</v>
      </c>
      <c r="G47" s="13" t="s">
        <v>18</v>
      </c>
      <c r="H47" s="27"/>
      <c r="I47" s="27"/>
      <c r="J47" s="27"/>
      <c r="K47" s="127">
        <v>50</v>
      </c>
      <c r="L47" s="27"/>
      <c r="M47" s="27"/>
      <c r="N47" s="27"/>
      <c r="O47" s="26">
        <f t="shared" si="4"/>
        <v>50</v>
      </c>
      <c r="P47" s="27"/>
      <c r="Q47" s="27"/>
      <c r="R47" s="26">
        <f t="shared" si="5"/>
        <v>50</v>
      </c>
      <c r="S47" s="12"/>
    </row>
    <row r="48" spans="1:21" s="72" customFormat="1" ht="12" x14ac:dyDescent="0.2">
      <c r="A48" s="37" t="s">
        <v>209</v>
      </c>
      <c r="B48" s="18" t="s">
        <v>25</v>
      </c>
      <c r="C48" s="11" t="s">
        <v>55</v>
      </c>
      <c r="D48" s="18"/>
      <c r="E48" s="55">
        <v>42543</v>
      </c>
      <c r="F48" s="55">
        <v>42544</v>
      </c>
      <c r="G48" s="13" t="s">
        <v>18</v>
      </c>
      <c r="H48" s="39"/>
      <c r="I48" s="39"/>
      <c r="J48" s="127">
        <v>536.25</v>
      </c>
      <c r="K48" s="127">
        <f>141.54+6</f>
        <v>147.54</v>
      </c>
      <c r="L48" s="128">
        <v>173.5</v>
      </c>
      <c r="M48" s="28"/>
      <c r="N48" s="40"/>
      <c r="O48" s="26">
        <f t="shared" si="4"/>
        <v>857.29</v>
      </c>
      <c r="P48" s="40"/>
      <c r="Q48" s="40"/>
      <c r="R48" s="26">
        <f>SUM(O48:P48:Q48)</f>
        <v>857.29</v>
      </c>
      <c r="S48" s="12"/>
    </row>
    <row r="49" spans="1:19" s="72" customFormat="1" ht="12" x14ac:dyDescent="0.2">
      <c r="A49" s="10" t="s">
        <v>38</v>
      </c>
      <c r="B49" s="13" t="s">
        <v>167</v>
      </c>
      <c r="C49" s="8" t="s">
        <v>312</v>
      </c>
      <c r="D49" s="13" t="s">
        <v>340</v>
      </c>
      <c r="E49" s="55">
        <v>42436</v>
      </c>
      <c r="F49" s="55">
        <v>42436</v>
      </c>
      <c r="G49" s="13" t="s">
        <v>18</v>
      </c>
      <c r="H49" s="27"/>
      <c r="I49" s="74"/>
      <c r="J49" s="28"/>
      <c r="K49" s="127">
        <v>20</v>
      </c>
      <c r="L49" s="113"/>
      <c r="M49" s="28"/>
      <c r="N49" s="28"/>
      <c r="O49" s="26">
        <f t="shared" si="4"/>
        <v>20</v>
      </c>
      <c r="P49" s="28"/>
      <c r="Q49" s="28"/>
      <c r="R49" s="26">
        <f t="shared" ref="R49:R61" si="6">SUM(O49:Q49)</f>
        <v>20</v>
      </c>
      <c r="S49" s="12"/>
    </row>
    <row r="50" spans="1:19" s="12" customFormat="1" ht="12" x14ac:dyDescent="0.2">
      <c r="A50" s="10" t="s">
        <v>38</v>
      </c>
      <c r="B50" s="13" t="s">
        <v>167</v>
      </c>
      <c r="C50" s="8" t="s">
        <v>72</v>
      </c>
      <c r="D50" s="13" t="s">
        <v>238</v>
      </c>
      <c r="E50" s="55">
        <v>42437</v>
      </c>
      <c r="F50" s="55">
        <v>42437</v>
      </c>
      <c r="G50" s="13" t="s">
        <v>251</v>
      </c>
      <c r="H50" s="27"/>
      <c r="I50" s="74"/>
      <c r="J50" s="28"/>
      <c r="K50" s="127">
        <f>15+13+10+72.44</f>
        <v>110.44</v>
      </c>
      <c r="L50" s="113"/>
      <c r="M50" s="28"/>
      <c r="N50" s="28"/>
      <c r="O50" s="26">
        <f t="shared" si="4"/>
        <v>110.44</v>
      </c>
      <c r="P50" s="28"/>
      <c r="Q50" s="28"/>
      <c r="R50" s="26">
        <f t="shared" si="6"/>
        <v>110.44</v>
      </c>
    </row>
    <row r="51" spans="1:19" s="9" customFormat="1" ht="12" x14ac:dyDescent="0.2">
      <c r="A51" s="10" t="s">
        <v>38</v>
      </c>
      <c r="B51" s="13" t="s">
        <v>167</v>
      </c>
      <c r="C51" s="11" t="s">
        <v>186</v>
      </c>
      <c r="D51" s="13" t="s">
        <v>339</v>
      </c>
      <c r="E51" s="55">
        <v>42447</v>
      </c>
      <c r="F51" s="55">
        <v>42447</v>
      </c>
      <c r="G51" s="13" t="s">
        <v>18</v>
      </c>
      <c r="H51" s="27"/>
      <c r="I51" s="74"/>
      <c r="J51" s="28"/>
      <c r="K51" s="127">
        <v>20</v>
      </c>
      <c r="L51" s="113"/>
      <c r="M51" s="28"/>
      <c r="N51" s="28"/>
      <c r="O51" s="26">
        <f t="shared" si="4"/>
        <v>20</v>
      </c>
      <c r="P51" s="28"/>
      <c r="Q51" s="28"/>
      <c r="R51" s="26">
        <f t="shared" si="6"/>
        <v>20</v>
      </c>
      <c r="S51" s="117"/>
    </row>
    <row r="52" spans="1:19" s="9" customFormat="1" ht="12" x14ac:dyDescent="0.2">
      <c r="A52" s="10" t="s">
        <v>38</v>
      </c>
      <c r="B52" s="13" t="s">
        <v>167</v>
      </c>
      <c r="C52" s="11" t="s">
        <v>186</v>
      </c>
      <c r="D52" s="13" t="s">
        <v>338</v>
      </c>
      <c r="E52" s="55">
        <v>42452</v>
      </c>
      <c r="F52" s="55">
        <v>42452</v>
      </c>
      <c r="G52" s="13" t="s">
        <v>18</v>
      </c>
      <c r="H52" s="27"/>
      <c r="I52" s="74"/>
      <c r="J52" s="28"/>
      <c r="K52" s="127">
        <v>7</v>
      </c>
      <c r="L52" s="113"/>
      <c r="M52" s="28"/>
      <c r="N52" s="28"/>
      <c r="O52" s="26">
        <f t="shared" si="4"/>
        <v>7</v>
      </c>
      <c r="P52" s="28"/>
      <c r="Q52" s="28"/>
      <c r="R52" s="26">
        <f t="shared" si="6"/>
        <v>7</v>
      </c>
      <c r="S52" s="12"/>
    </row>
    <row r="53" spans="1:19" s="9" customFormat="1" ht="12" x14ac:dyDescent="0.2">
      <c r="A53" s="10" t="s">
        <v>38</v>
      </c>
      <c r="B53" s="13" t="s">
        <v>167</v>
      </c>
      <c r="C53" s="11" t="s">
        <v>64</v>
      </c>
      <c r="D53" s="8" t="s">
        <v>310</v>
      </c>
      <c r="E53" s="55">
        <v>42520</v>
      </c>
      <c r="F53" s="55">
        <v>42521</v>
      </c>
      <c r="G53" s="13" t="s">
        <v>327</v>
      </c>
      <c r="H53" s="27"/>
      <c r="I53" s="74"/>
      <c r="J53" s="127">
        <v>711.25</v>
      </c>
      <c r="K53" s="127">
        <v>60</v>
      </c>
      <c r="L53" s="128">
        <v>111.79</v>
      </c>
      <c r="M53" s="127">
        <v>20</v>
      </c>
      <c r="N53" s="28"/>
      <c r="O53" s="26">
        <f t="shared" si="4"/>
        <v>903.04</v>
      </c>
      <c r="P53" s="28"/>
      <c r="Q53" s="28"/>
      <c r="R53" s="26">
        <f t="shared" si="6"/>
        <v>903.04</v>
      </c>
      <c r="S53" s="117"/>
    </row>
    <row r="54" spans="1:19" s="12" customFormat="1" ht="12" x14ac:dyDescent="0.2">
      <c r="A54" s="10" t="s">
        <v>38</v>
      </c>
      <c r="B54" s="13" t="s">
        <v>167</v>
      </c>
      <c r="C54" s="11" t="s">
        <v>186</v>
      </c>
      <c r="D54" s="13" t="s">
        <v>94</v>
      </c>
      <c r="E54" s="55">
        <v>42467</v>
      </c>
      <c r="F54" s="55">
        <v>42467</v>
      </c>
      <c r="G54" s="13" t="s">
        <v>18</v>
      </c>
      <c r="H54" s="27"/>
      <c r="I54" s="27"/>
      <c r="J54" s="28"/>
      <c r="K54" s="127">
        <v>25</v>
      </c>
      <c r="L54" s="28"/>
      <c r="M54" s="28"/>
      <c r="N54" s="28"/>
      <c r="O54" s="26">
        <f t="shared" si="4"/>
        <v>25</v>
      </c>
      <c r="P54" s="28"/>
      <c r="Q54" s="28"/>
      <c r="R54" s="26">
        <f t="shared" si="6"/>
        <v>25</v>
      </c>
      <c r="S54" s="9"/>
    </row>
    <row r="55" spans="1:19" s="9" customFormat="1" ht="24" x14ac:dyDescent="0.2">
      <c r="A55" s="10" t="s">
        <v>38</v>
      </c>
      <c r="B55" s="13" t="s">
        <v>167</v>
      </c>
      <c r="C55" s="8" t="s">
        <v>312</v>
      </c>
      <c r="D55" s="13" t="s">
        <v>337</v>
      </c>
      <c r="E55" s="55">
        <v>42471</v>
      </c>
      <c r="F55" s="55">
        <v>42471</v>
      </c>
      <c r="G55" s="13" t="s">
        <v>18</v>
      </c>
      <c r="H55" s="27"/>
      <c r="I55" s="74"/>
      <c r="J55" s="28"/>
      <c r="K55" s="127">
        <v>2.0499999999999998</v>
      </c>
      <c r="L55" s="113"/>
      <c r="M55" s="28"/>
      <c r="N55" s="28"/>
      <c r="O55" s="26">
        <f t="shared" si="4"/>
        <v>2.0499999999999998</v>
      </c>
      <c r="P55" s="28"/>
      <c r="Q55" s="28"/>
      <c r="R55" s="26">
        <f t="shared" si="6"/>
        <v>2.0499999999999998</v>
      </c>
      <c r="S55" s="12"/>
    </row>
    <row r="56" spans="1:19" s="9" customFormat="1" ht="12" x14ac:dyDescent="0.2">
      <c r="A56" s="10" t="s">
        <v>38</v>
      </c>
      <c r="B56" s="13" t="s">
        <v>167</v>
      </c>
      <c r="C56" s="11" t="s">
        <v>333</v>
      </c>
      <c r="D56" s="8" t="s">
        <v>332</v>
      </c>
      <c r="E56" s="55">
        <v>42475</v>
      </c>
      <c r="F56" s="55">
        <v>42475</v>
      </c>
      <c r="G56" s="13" t="s">
        <v>99</v>
      </c>
      <c r="H56" s="27"/>
      <c r="I56" s="74"/>
      <c r="J56" s="127">
        <v>423.25</v>
      </c>
      <c r="K56" s="28"/>
      <c r="L56" s="113"/>
      <c r="M56" s="28"/>
      <c r="N56" s="28"/>
      <c r="O56" s="47">
        <f t="shared" si="4"/>
        <v>423.25</v>
      </c>
      <c r="P56" s="28"/>
      <c r="Q56" s="28"/>
      <c r="R56" s="47">
        <f t="shared" si="6"/>
        <v>423.25</v>
      </c>
      <c r="S56" s="117"/>
    </row>
    <row r="57" spans="1:19" s="9" customFormat="1" ht="12" x14ac:dyDescent="0.2">
      <c r="A57" s="10" t="s">
        <v>38</v>
      </c>
      <c r="B57" s="13" t="s">
        <v>167</v>
      </c>
      <c r="C57" s="8" t="s">
        <v>240</v>
      </c>
      <c r="D57" s="13" t="s">
        <v>382</v>
      </c>
      <c r="E57" s="55">
        <v>42506</v>
      </c>
      <c r="F57" s="55">
        <v>42506</v>
      </c>
      <c r="G57" s="13" t="s">
        <v>18</v>
      </c>
      <c r="H57" s="27"/>
      <c r="I57" s="74"/>
      <c r="J57" s="28"/>
      <c r="K57" s="127">
        <v>5.04</v>
      </c>
      <c r="L57" s="113"/>
      <c r="M57" s="28"/>
      <c r="N57" s="28"/>
      <c r="O57" s="26">
        <f t="shared" si="4"/>
        <v>5.04</v>
      </c>
      <c r="P57" s="28"/>
      <c r="Q57" s="28"/>
      <c r="R57" s="26">
        <f t="shared" si="6"/>
        <v>5.04</v>
      </c>
      <c r="S57" s="12"/>
    </row>
    <row r="58" spans="1:19" s="9" customFormat="1" ht="12" x14ac:dyDescent="0.2">
      <c r="A58" s="10" t="s">
        <v>38</v>
      </c>
      <c r="B58" s="13" t="s">
        <v>167</v>
      </c>
      <c r="C58" s="8" t="s">
        <v>312</v>
      </c>
      <c r="D58" s="13" t="s">
        <v>383</v>
      </c>
      <c r="E58" s="55">
        <v>42509</v>
      </c>
      <c r="F58" s="55">
        <v>42509</v>
      </c>
      <c r="G58" s="13" t="s">
        <v>18</v>
      </c>
      <c r="H58" s="27"/>
      <c r="I58" s="74"/>
      <c r="J58" s="28"/>
      <c r="K58" s="127">
        <v>12</v>
      </c>
      <c r="L58" s="113"/>
      <c r="M58" s="28"/>
      <c r="N58" s="28"/>
      <c r="O58" s="26">
        <f t="shared" si="4"/>
        <v>12</v>
      </c>
      <c r="P58" s="28"/>
      <c r="Q58" s="28"/>
      <c r="R58" s="26">
        <f t="shared" si="6"/>
        <v>12</v>
      </c>
      <c r="S58" s="12"/>
    </row>
    <row r="59" spans="1:19" s="9" customFormat="1" ht="12" x14ac:dyDescent="0.2">
      <c r="A59" s="10" t="s">
        <v>38</v>
      </c>
      <c r="B59" s="13" t="s">
        <v>167</v>
      </c>
      <c r="C59" s="13" t="s">
        <v>346</v>
      </c>
      <c r="D59" s="8" t="s">
        <v>329</v>
      </c>
      <c r="E59" s="55">
        <v>42529</v>
      </c>
      <c r="F59" s="55">
        <v>42529</v>
      </c>
      <c r="G59" s="13" t="s">
        <v>327</v>
      </c>
      <c r="H59" s="27"/>
      <c r="I59" s="74"/>
      <c r="J59" s="127">
        <v>500.25</v>
      </c>
      <c r="K59" s="28" t="s">
        <v>266</v>
      </c>
      <c r="L59" s="28" t="s">
        <v>266</v>
      </c>
      <c r="M59" s="28" t="s">
        <v>266</v>
      </c>
      <c r="N59" s="28"/>
      <c r="O59" s="26">
        <f t="shared" si="4"/>
        <v>500.25</v>
      </c>
      <c r="P59" s="28"/>
      <c r="Q59" s="28"/>
      <c r="R59" s="26">
        <f t="shared" si="6"/>
        <v>500.25</v>
      </c>
      <c r="S59" s="12"/>
    </row>
    <row r="60" spans="1:19" s="9" customFormat="1" ht="12" x14ac:dyDescent="0.2">
      <c r="A60" s="10" t="s">
        <v>323</v>
      </c>
      <c r="B60" s="8" t="s">
        <v>25</v>
      </c>
      <c r="C60" s="11" t="s">
        <v>64</v>
      </c>
      <c r="D60" s="8" t="s">
        <v>310</v>
      </c>
      <c r="E60" s="55">
        <v>42517</v>
      </c>
      <c r="F60" s="55">
        <v>42518</v>
      </c>
      <c r="G60" s="10" t="s">
        <v>118</v>
      </c>
      <c r="H60" s="74"/>
      <c r="I60" s="102"/>
      <c r="J60" s="27"/>
      <c r="K60" s="28"/>
      <c r="L60" s="128">
        <v>124</v>
      </c>
      <c r="M60" s="27"/>
      <c r="N60" s="27"/>
      <c r="O60" s="26">
        <f t="shared" si="4"/>
        <v>124</v>
      </c>
      <c r="P60" s="27"/>
      <c r="Q60" s="27"/>
      <c r="R60" s="26">
        <f t="shared" si="6"/>
        <v>124</v>
      </c>
      <c r="S60" s="12"/>
    </row>
    <row r="61" spans="1:19" s="9" customFormat="1" ht="12" x14ac:dyDescent="0.2">
      <c r="A61" s="10" t="s">
        <v>234</v>
      </c>
      <c r="B61" s="8" t="s">
        <v>25</v>
      </c>
      <c r="C61" s="11" t="s">
        <v>55</v>
      </c>
      <c r="D61" s="20"/>
      <c r="E61" s="55">
        <v>42543</v>
      </c>
      <c r="F61" s="55">
        <v>42544</v>
      </c>
      <c r="G61" s="13" t="s">
        <v>18</v>
      </c>
      <c r="H61" s="27"/>
      <c r="I61" s="74"/>
      <c r="J61" s="27"/>
      <c r="K61" s="28"/>
      <c r="L61" s="128">
        <v>173.5</v>
      </c>
      <c r="M61" s="27"/>
      <c r="N61" s="27"/>
      <c r="O61" s="26">
        <f t="shared" si="4"/>
        <v>173.5</v>
      </c>
      <c r="P61" s="27"/>
      <c r="Q61" s="27"/>
      <c r="R61" s="26">
        <f t="shared" si="6"/>
        <v>173.5</v>
      </c>
      <c r="S61" s="87"/>
    </row>
  </sheetData>
  <autoFilter ref="A1:R61" xr:uid="{00000000-0009-0000-0000-000012000000}"/>
  <sortState xmlns:xlrd2="http://schemas.microsoft.com/office/spreadsheetml/2017/richdata2"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0"/>
  <sheetViews>
    <sheetView zoomScale="85" zoomScaleNormal="85" workbookViewId="0">
      <selection activeCell="C7" sqref="C7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/>
      <c r="L2" s="48">
        <v>132.43</v>
      </c>
      <c r="M2" s="48"/>
      <c r="N2" s="48"/>
      <c r="O2" s="47">
        <f t="shared" ref="O2:O7" si="0">SUM(J2:N2)</f>
        <v>132.43</v>
      </c>
      <c r="P2" s="48"/>
      <c r="Q2" s="48"/>
      <c r="R2" s="47">
        <f>SUM(O2:P2:Q2)</f>
        <v>132.43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/>
      <c r="L3" s="48">
        <v>132.43</v>
      </c>
      <c r="M3" s="48"/>
      <c r="N3" s="48"/>
      <c r="O3" s="47">
        <f t="shared" si="0"/>
        <v>132.43</v>
      </c>
      <c r="P3" s="48"/>
      <c r="Q3" s="48"/>
      <c r="R3" s="47">
        <f>SUM(O3:P3:Q3)</f>
        <v>132.43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49" customFormat="1" ht="12" x14ac:dyDescent="0.2">
      <c r="B8" s="19"/>
      <c r="G8" s="19"/>
    </row>
    <row r="9" spans="1:18" s="49" customFormat="1" ht="12" x14ac:dyDescent="0.2">
      <c r="B9" s="19"/>
      <c r="G9" s="19"/>
    </row>
    <row r="10" spans="1:18" s="49" customFormat="1" ht="12" x14ac:dyDescent="0.2">
      <c r="B10" s="19"/>
      <c r="G10" s="19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7"/>
  <sheetViews>
    <sheetView topLeftCell="A37" zoomScale="110" zoomScaleNormal="110" workbookViewId="0">
      <selection activeCell="D37" sqref="D1:D1048576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376</v>
      </c>
      <c r="B2" s="18" t="s">
        <v>25</v>
      </c>
      <c r="C2" s="11" t="s">
        <v>55</v>
      </c>
      <c r="D2" s="20"/>
      <c r="E2" s="55">
        <v>42641</v>
      </c>
      <c r="F2" s="55">
        <v>42642</v>
      </c>
      <c r="G2" s="13" t="s">
        <v>99</v>
      </c>
      <c r="H2" s="27"/>
      <c r="I2" s="74"/>
      <c r="J2" s="71">
        <v>295.74</v>
      </c>
      <c r="K2" s="28"/>
      <c r="L2" s="115">
        <v>114</v>
      </c>
      <c r="M2" s="27"/>
      <c r="N2" s="27"/>
      <c r="O2" s="26">
        <f t="shared" ref="O2:O33" si="0">SUM(J2:N2)</f>
        <v>409.74</v>
      </c>
      <c r="P2" s="27"/>
      <c r="Q2" s="27"/>
      <c r="R2" s="26">
        <f t="shared" ref="R2:R33" si="1">SUM(O2:Q2)</f>
        <v>409.74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64</v>
      </c>
      <c r="D3" s="8" t="s">
        <v>310</v>
      </c>
      <c r="E3" s="55">
        <v>42524</v>
      </c>
      <c r="F3" s="55">
        <v>42524</v>
      </c>
      <c r="G3" s="10" t="s">
        <v>99</v>
      </c>
      <c r="H3" s="74"/>
      <c r="I3" s="102"/>
      <c r="J3" s="27"/>
      <c r="K3" s="53">
        <v>59</v>
      </c>
      <c r="L3" s="113"/>
      <c r="M3" s="27"/>
      <c r="N3" s="27"/>
      <c r="O3" s="26">
        <f t="shared" si="0"/>
        <v>59</v>
      </c>
      <c r="P3" s="27"/>
      <c r="Q3" s="27"/>
      <c r="R3" s="26">
        <f t="shared" si="1"/>
        <v>59</v>
      </c>
    </row>
    <row r="4" spans="1:19" s="12" customFormat="1" ht="12" x14ac:dyDescent="0.2">
      <c r="A4" s="10" t="s">
        <v>20</v>
      </c>
      <c r="B4" s="10" t="s">
        <v>21</v>
      </c>
      <c r="C4" s="8" t="s">
        <v>302</v>
      </c>
      <c r="D4" s="8" t="s">
        <v>354</v>
      </c>
      <c r="E4" s="55">
        <v>42536</v>
      </c>
      <c r="F4" s="55">
        <v>42536</v>
      </c>
      <c r="G4" s="10" t="s">
        <v>18</v>
      </c>
      <c r="H4" s="74"/>
      <c r="I4" s="102"/>
      <c r="J4" s="27"/>
      <c r="K4" s="53">
        <v>8</v>
      </c>
      <c r="L4" s="113"/>
      <c r="M4" s="27"/>
      <c r="N4" s="27"/>
      <c r="O4" s="26">
        <f t="shared" si="0"/>
        <v>8</v>
      </c>
      <c r="P4" s="27"/>
      <c r="Q4" s="27"/>
      <c r="R4" s="26">
        <f t="shared" si="1"/>
        <v>8</v>
      </c>
      <c r="S4" s="117"/>
    </row>
    <row r="5" spans="1:19" s="12" customFormat="1" ht="24" x14ac:dyDescent="0.2">
      <c r="A5" s="10" t="s">
        <v>20</v>
      </c>
      <c r="B5" s="10" t="s">
        <v>21</v>
      </c>
      <c r="C5" s="8" t="s">
        <v>369</v>
      </c>
      <c r="D5" s="8" t="s">
        <v>355</v>
      </c>
      <c r="E5" s="55">
        <v>42537</v>
      </c>
      <c r="F5" s="55">
        <v>42537</v>
      </c>
      <c r="G5" s="10" t="s">
        <v>18</v>
      </c>
      <c r="H5" s="74"/>
      <c r="I5" s="102"/>
      <c r="J5" s="27"/>
      <c r="K5" s="53">
        <v>10</v>
      </c>
      <c r="L5" s="113"/>
      <c r="M5" s="27"/>
      <c r="N5" s="27"/>
      <c r="O5" s="26">
        <f t="shared" si="0"/>
        <v>10</v>
      </c>
      <c r="P5" s="27"/>
      <c r="Q5" s="27"/>
      <c r="R5" s="26">
        <f t="shared" si="1"/>
        <v>10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369</v>
      </c>
      <c r="D6" s="8" t="s">
        <v>356</v>
      </c>
      <c r="E6" s="55">
        <v>42537</v>
      </c>
      <c r="F6" s="55">
        <v>42537</v>
      </c>
      <c r="G6" s="10" t="s">
        <v>18</v>
      </c>
      <c r="H6" s="74"/>
      <c r="I6" s="102"/>
      <c r="J6" s="27"/>
      <c r="K6" s="53">
        <v>10.8</v>
      </c>
      <c r="L6" s="113"/>
      <c r="M6" s="27"/>
      <c r="N6" s="27"/>
      <c r="O6" s="26">
        <f t="shared" si="0"/>
        <v>10.8</v>
      </c>
      <c r="P6" s="27"/>
      <c r="Q6" s="27"/>
      <c r="R6" s="26">
        <f t="shared" si="1"/>
        <v>10.8</v>
      </c>
      <c r="S6" s="117"/>
    </row>
    <row r="7" spans="1:19" s="12" customFormat="1" ht="12" x14ac:dyDescent="0.2">
      <c r="A7" s="10" t="s">
        <v>20</v>
      </c>
      <c r="B7" s="10" t="s">
        <v>21</v>
      </c>
      <c r="C7" s="8" t="s">
        <v>345</v>
      </c>
      <c r="D7" s="8" t="s">
        <v>357</v>
      </c>
      <c r="E7" s="55">
        <v>42538</v>
      </c>
      <c r="F7" s="55">
        <v>42540</v>
      </c>
      <c r="G7" s="10" t="s">
        <v>171</v>
      </c>
      <c r="H7" s="74"/>
      <c r="I7" s="102"/>
      <c r="J7" s="27"/>
      <c r="K7" s="53">
        <f>57+34.1</f>
        <v>91.1</v>
      </c>
      <c r="L7" s="113"/>
      <c r="M7" s="27"/>
      <c r="N7" s="27"/>
      <c r="O7" s="26">
        <f t="shared" si="0"/>
        <v>91.1</v>
      </c>
      <c r="P7" s="27"/>
      <c r="Q7" s="27"/>
      <c r="R7" s="26">
        <f t="shared" si="1"/>
        <v>91.1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201</v>
      </c>
      <c r="D8" s="8" t="s">
        <v>358</v>
      </c>
      <c r="E8" s="55">
        <v>42585</v>
      </c>
      <c r="F8" s="55">
        <v>42585</v>
      </c>
      <c r="G8" s="10" t="s">
        <v>18</v>
      </c>
      <c r="H8" s="74"/>
      <c r="I8" s="102"/>
      <c r="J8" s="27"/>
      <c r="K8" s="53">
        <v>9</v>
      </c>
      <c r="L8" s="113"/>
      <c r="M8" s="27"/>
      <c r="N8" s="27"/>
      <c r="O8" s="26">
        <f t="shared" si="0"/>
        <v>9</v>
      </c>
      <c r="P8" s="27"/>
      <c r="Q8" s="27"/>
      <c r="R8" s="26">
        <f t="shared" si="1"/>
        <v>9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42619</v>
      </c>
      <c r="F9" s="55">
        <v>42620</v>
      </c>
      <c r="G9" s="138" t="s">
        <v>327</v>
      </c>
      <c r="H9" s="74"/>
      <c r="I9" s="102"/>
      <c r="J9" s="71">
        <f>288.25+20+10</f>
        <v>318.25</v>
      </c>
      <c r="K9" s="28"/>
      <c r="L9" s="113"/>
      <c r="M9" s="27"/>
      <c r="N9" s="27"/>
      <c r="O9" s="26">
        <f t="shared" si="0"/>
        <v>318.25</v>
      </c>
      <c r="P9" s="27"/>
      <c r="Q9" s="27"/>
      <c r="R9" s="26">
        <f t="shared" si="1"/>
        <v>318.25</v>
      </c>
    </row>
    <row r="10" spans="1:19" s="12" customFormat="1" ht="12" x14ac:dyDescent="0.2">
      <c r="A10" s="10" t="s">
        <v>20</v>
      </c>
      <c r="B10" s="10" t="s">
        <v>21</v>
      </c>
      <c r="C10" s="11" t="s">
        <v>64</v>
      </c>
      <c r="D10" s="8" t="s">
        <v>310</v>
      </c>
      <c r="E10" s="55">
        <v>42622</v>
      </c>
      <c r="F10" s="55">
        <v>42623</v>
      </c>
      <c r="G10" s="10" t="s">
        <v>118</v>
      </c>
      <c r="H10" s="74"/>
      <c r="I10" s="102"/>
      <c r="J10" s="71">
        <f>272.25</f>
        <v>272.25</v>
      </c>
      <c r="K10" s="28"/>
      <c r="L10" s="113"/>
      <c r="M10" s="27"/>
      <c r="N10" s="27"/>
      <c r="O10" s="26">
        <f t="shared" si="0"/>
        <v>272.25</v>
      </c>
      <c r="P10" s="27"/>
      <c r="Q10" s="27"/>
      <c r="R10" s="26">
        <f t="shared" si="1"/>
        <v>272.25</v>
      </c>
    </row>
    <row r="11" spans="1:19" s="12" customFormat="1" ht="12" x14ac:dyDescent="0.2">
      <c r="A11" s="10" t="s">
        <v>20</v>
      </c>
      <c r="B11" s="10" t="s">
        <v>21</v>
      </c>
      <c r="C11" s="11" t="s">
        <v>64</v>
      </c>
      <c r="D11" s="8" t="s">
        <v>310</v>
      </c>
      <c r="E11" s="55">
        <v>42626</v>
      </c>
      <c r="F11" s="55">
        <v>42626</v>
      </c>
      <c r="G11" s="10" t="s">
        <v>251</v>
      </c>
      <c r="H11" s="74"/>
      <c r="I11" s="102"/>
      <c r="J11" s="27"/>
      <c r="K11" s="53">
        <v>422</v>
      </c>
      <c r="L11" s="113"/>
      <c r="M11" s="27"/>
      <c r="N11" s="27"/>
      <c r="O11" s="26">
        <f t="shared" si="0"/>
        <v>422</v>
      </c>
      <c r="P11" s="27"/>
      <c r="Q11" s="27"/>
      <c r="R11" s="26">
        <f t="shared" si="1"/>
        <v>422</v>
      </c>
    </row>
    <row r="12" spans="1:19" s="12" customFormat="1" ht="12" x14ac:dyDescent="0.2">
      <c r="A12" s="10" t="s">
        <v>20</v>
      </c>
      <c r="B12" s="10" t="s">
        <v>21</v>
      </c>
      <c r="C12" s="11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71">
        <v>461.25</v>
      </c>
      <c r="K12" s="28"/>
      <c r="L12" s="113"/>
      <c r="M12" s="27"/>
      <c r="N12" s="27"/>
      <c r="O12" s="26">
        <f t="shared" si="0"/>
        <v>461.25</v>
      </c>
      <c r="P12" s="27"/>
      <c r="Q12" s="27"/>
      <c r="R12" s="26">
        <f t="shared" si="1"/>
        <v>461.25</v>
      </c>
    </row>
    <row r="13" spans="1:19" s="12" customFormat="1" ht="12" x14ac:dyDescent="0.2">
      <c r="A13" s="10" t="s">
        <v>20</v>
      </c>
      <c r="B13" s="10" t="s">
        <v>21</v>
      </c>
      <c r="C13" s="8" t="s">
        <v>345</v>
      </c>
      <c r="D13" s="8" t="s">
        <v>371</v>
      </c>
      <c r="E13" s="55">
        <v>42632</v>
      </c>
      <c r="F13" s="55">
        <v>42632</v>
      </c>
      <c r="G13" s="10" t="s">
        <v>18</v>
      </c>
      <c r="H13" s="74"/>
      <c r="I13" s="102"/>
      <c r="J13" s="27"/>
      <c r="K13" s="53">
        <v>3.54</v>
      </c>
      <c r="L13" s="113"/>
      <c r="M13" s="27"/>
      <c r="N13" s="27"/>
      <c r="O13" s="26">
        <f t="shared" si="0"/>
        <v>3.54</v>
      </c>
      <c r="P13" s="27"/>
      <c r="Q13" s="27"/>
      <c r="R13" s="26">
        <f t="shared" si="1"/>
        <v>3.54</v>
      </c>
    </row>
    <row r="14" spans="1:19" s="9" customFormat="1" ht="24" x14ac:dyDescent="0.2">
      <c r="A14" s="10" t="s">
        <v>20</v>
      </c>
      <c r="B14" s="10" t="s">
        <v>21</v>
      </c>
      <c r="C14" s="8" t="s">
        <v>369</v>
      </c>
      <c r="D14" s="8" t="s">
        <v>370</v>
      </c>
      <c r="E14" s="55">
        <v>42634</v>
      </c>
      <c r="F14" s="55">
        <v>42634</v>
      </c>
      <c r="G14" s="10" t="s">
        <v>18</v>
      </c>
      <c r="H14" s="74"/>
      <c r="I14" s="102"/>
      <c r="J14" s="27"/>
      <c r="K14" s="53">
        <v>6.75</v>
      </c>
      <c r="L14" s="113"/>
      <c r="M14" s="27"/>
      <c r="N14" s="27"/>
      <c r="O14" s="26">
        <f t="shared" si="0"/>
        <v>6.75</v>
      </c>
      <c r="P14" s="27"/>
      <c r="Q14" s="27"/>
      <c r="R14" s="26">
        <f t="shared" si="1"/>
        <v>6.75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55</v>
      </c>
      <c r="D15" s="20"/>
      <c r="E15" s="55">
        <v>42641</v>
      </c>
      <c r="F15" s="55">
        <v>42642</v>
      </c>
      <c r="G15" s="13" t="s">
        <v>99</v>
      </c>
      <c r="H15" s="27"/>
      <c r="I15" s="74"/>
      <c r="J15" s="71">
        <f>265.25+20</f>
        <v>285.25</v>
      </c>
      <c r="K15" s="28"/>
      <c r="L15" s="115">
        <v>114</v>
      </c>
      <c r="M15" s="27"/>
      <c r="N15" s="27"/>
      <c r="O15" s="26">
        <f t="shared" si="0"/>
        <v>399.25</v>
      </c>
      <c r="P15" s="27"/>
      <c r="Q15" s="27"/>
      <c r="R15" s="26">
        <f t="shared" si="1"/>
        <v>399.25</v>
      </c>
      <c r="S15" s="87"/>
    </row>
    <row r="16" spans="1:19" s="9" customFormat="1" ht="12" x14ac:dyDescent="0.2">
      <c r="A16" s="37" t="s">
        <v>210</v>
      </c>
      <c r="B16" s="18" t="s">
        <v>25</v>
      </c>
      <c r="C16" s="11" t="s">
        <v>55</v>
      </c>
      <c r="D16" s="20"/>
      <c r="E16" s="55">
        <v>42641</v>
      </c>
      <c r="F16" s="55">
        <v>42642</v>
      </c>
      <c r="G16" s="13" t="s">
        <v>99</v>
      </c>
      <c r="H16" s="27"/>
      <c r="I16" s="74"/>
      <c r="J16" s="71">
        <v>285.25</v>
      </c>
      <c r="K16" s="28"/>
      <c r="L16" s="113"/>
      <c r="M16" s="27"/>
      <c r="N16" s="27"/>
      <c r="O16" s="26">
        <f t="shared" si="0"/>
        <v>285.25</v>
      </c>
      <c r="P16" s="27"/>
      <c r="Q16" s="27"/>
      <c r="R16" s="26">
        <f t="shared" si="1"/>
        <v>285.25</v>
      </c>
      <c r="S16" s="87"/>
    </row>
    <row r="17" spans="1:19" s="9" customFormat="1" ht="24" x14ac:dyDescent="0.2">
      <c r="A17" s="7" t="s">
        <v>211</v>
      </c>
      <c r="B17" s="14" t="s">
        <v>212</v>
      </c>
      <c r="C17" s="8" t="s">
        <v>63</v>
      </c>
      <c r="D17" s="18"/>
      <c r="E17" s="58">
        <v>42548</v>
      </c>
      <c r="F17" s="58">
        <v>42548</v>
      </c>
      <c r="G17" s="57" t="s">
        <v>18</v>
      </c>
      <c r="H17" s="52"/>
      <c r="I17" s="74"/>
      <c r="J17" s="28"/>
      <c r="K17" s="53">
        <v>10.25</v>
      </c>
      <c r="L17" s="28"/>
      <c r="M17" s="28"/>
      <c r="N17" s="28"/>
      <c r="O17" s="26">
        <f t="shared" si="0"/>
        <v>10.25</v>
      </c>
      <c r="P17" s="28"/>
      <c r="Q17" s="28"/>
      <c r="R17" s="26">
        <f t="shared" si="1"/>
        <v>10.25</v>
      </c>
      <c r="S17" s="12"/>
    </row>
    <row r="18" spans="1:19" s="9" customFormat="1" ht="12" x14ac:dyDescent="0.2">
      <c r="A18" s="7" t="s">
        <v>389</v>
      </c>
      <c r="B18" s="8" t="s">
        <v>34</v>
      </c>
      <c r="C18" s="8" t="s">
        <v>72</v>
      </c>
      <c r="D18" s="13" t="s">
        <v>238</v>
      </c>
      <c r="E18" s="55">
        <v>42523</v>
      </c>
      <c r="F18" s="55">
        <v>42523</v>
      </c>
      <c r="G18" s="13" t="s">
        <v>47</v>
      </c>
      <c r="H18" s="7"/>
      <c r="I18" s="7"/>
      <c r="J18" s="7"/>
      <c r="K18" s="93">
        <v>38.5</v>
      </c>
      <c r="L18" s="114"/>
      <c r="M18" s="46"/>
      <c r="N18" s="46"/>
      <c r="O18" s="26">
        <f t="shared" si="0"/>
        <v>38.5</v>
      </c>
      <c r="P18" s="46"/>
      <c r="Q18" s="46"/>
      <c r="R18" s="26">
        <f t="shared" si="1"/>
        <v>38.5</v>
      </c>
    </row>
    <row r="19" spans="1:19" s="9" customFormat="1" ht="12" x14ac:dyDescent="0.2">
      <c r="A19" s="7" t="s">
        <v>389</v>
      </c>
      <c r="B19" s="8" t="s">
        <v>34</v>
      </c>
      <c r="C19" s="8" t="s">
        <v>72</v>
      </c>
      <c r="D19" s="13" t="s">
        <v>238</v>
      </c>
      <c r="E19" s="55">
        <v>42621</v>
      </c>
      <c r="F19" s="55">
        <v>42621</v>
      </c>
      <c r="G19" s="13" t="s">
        <v>47</v>
      </c>
      <c r="H19" s="7"/>
      <c r="I19" s="7"/>
      <c r="J19" s="136">
        <f>253.25</f>
        <v>253.25</v>
      </c>
      <c r="K19" s="93">
        <v>37.75</v>
      </c>
      <c r="L19" s="114"/>
      <c r="M19" s="46"/>
      <c r="N19" s="46"/>
      <c r="O19" s="26">
        <f t="shared" si="0"/>
        <v>291</v>
      </c>
      <c r="P19" s="46"/>
      <c r="Q19" s="46"/>
      <c r="R19" s="26">
        <f t="shared" si="1"/>
        <v>291</v>
      </c>
    </row>
    <row r="20" spans="1:19" s="9" customFormat="1" ht="12" x14ac:dyDescent="0.2">
      <c r="A20" s="7" t="s">
        <v>389</v>
      </c>
      <c r="B20" s="8" t="s">
        <v>34</v>
      </c>
      <c r="C20" s="8" t="s">
        <v>72</v>
      </c>
      <c r="D20" s="13" t="s">
        <v>238</v>
      </c>
      <c r="E20" s="55">
        <v>42622</v>
      </c>
      <c r="F20" s="55">
        <v>42623</v>
      </c>
      <c r="G20" s="13" t="s">
        <v>99</v>
      </c>
      <c r="H20" s="7"/>
      <c r="I20" s="7"/>
      <c r="J20" s="136">
        <f>107.12+133.12+10</f>
        <v>250.24</v>
      </c>
      <c r="K20" s="46"/>
      <c r="L20" s="137">
        <v>114</v>
      </c>
      <c r="M20" s="46"/>
      <c r="N20" s="46"/>
      <c r="O20" s="26">
        <f t="shared" si="0"/>
        <v>364.24</v>
      </c>
      <c r="P20" s="46"/>
      <c r="Q20" s="46"/>
      <c r="R20" s="26">
        <f t="shared" si="1"/>
        <v>364.24</v>
      </c>
    </row>
    <row r="21" spans="1:19" s="9" customFormat="1" ht="12" x14ac:dyDescent="0.2">
      <c r="A21" s="7" t="s">
        <v>389</v>
      </c>
      <c r="B21" s="8" t="s">
        <v>34</v>
      </c>
      <c r="C21" s="8" t="s">
        <v>72</v>
      </c>
      <c r="D21" s="13" t="s">
        <v>238</v>
      </c>
      <c r="E21" s="55">
        <v>42627</v>
      </c>
      <c r="F21" s="55">
        <v>42628</v>
      </c>
      <c r="G21" s="13" t="s">
        <v>381</v>
      </c>
      <c r="H21" s="7"/>
      <c r="I21" s="7"/>
      <c r="J21" s="7"/>
      <c r="K21" s="93">
        <f>49+31+39.9</f>
        <v>119.9</v>
      </c>
      <c r="L21" s="114"/>
      <c r="M21" s="46"/>
      <c r="N21" s="46"/>
      <c r="O21" s="26">
        <f t="shared" si="0"/>
        <v>119.9</v>
      </c>
      <c r="P21" s="46"/>
      <c r="Q21" s="46"/>
      <c r="R21" s="26">
        <f t="shared" si="1"/>
        <v>119.9</v>
      </c>
    </row>
    <row r="22" spans="1:19" s="9" customFormat="1" ht="12" x14ac:dyDescent="0.2">
      <c r="A22" s="7" t="s">
        <v>389</v>
      </c>
      <c r="B22" s="8" t="s">
        <v>34</v>
      </c>
      <c r="C22" s="11" t="s">
        <v>55</v>
      </c>
      <c r="D22" s="20"/>
      <c r="E22" s="55">
        <v>42640</v>
      </c>
      <c r="F22" s="55">
        <v>42642</v>
      </c>
      <c r="G22" s="13" t="s">
        <v>99</v>
      </c>
      <c r="H22" s="27"/>
      <c r="I22" s="74"/>
      <c r="J22" s="71">
        <v>148.72999999999999</v>
      </c>
      <c r="K22" s="28"/>
      <c r="L22" s="115">
        <v>238</v>
      </c>
      <c r="M22" s="27"/>
      <c r="N22" s="27"/>
      <c r="O22" s="26">
        <f t="shared" si="0"/>
        <v>386.73</v>
      </c>
      <c r="P22" s="27"/>
      <c r="Q22" s="27"/>
      <c r="R22" s="26">
        <f t="shared" si="1"/>
        <v>386.73</v>
      </c>
      <c r="S22" s="87"/>
    </row>
    <row r="23" spans="1:19" s="9" customFormat="1" ht="24" x14ac:dyDescent="0.2">
      <c r="A23" s="7" t="s">
        <v>31</v>
      </c>
      <c r="B23" s="14" t="s">
        <v>139</v>
      </c>
      <c r="C23" s="13" t="s">
        <v>346</v>
      </c>
      <c r="D23" s="13"/>
      <c r="E23" s="55">
        <v>42529</v>
      </c>
      <c r="F23" s="55">
        <v>42529</v>
      </c>
      <c r="G23" s="13" t="s">
        <v>166</v>
      </c>
      <c r="H23" s="52"/>
      <c r="I23" s="74"/>
      <c r="J23" s="46"/>
      <c r="K23" s="53">
        <v>5.5</v>
      </c>
      <c r="L23" s="113"/>
      <c r="M23" s="28"/>
      <c r="N23" s="28"/>
      <c r="O23" s="26">
        <f t="shared" si="0"/>
        <v>5.5</v>
      </c>
      <c r="P23" s="28"/>
      <c r="Q23" s="28"/>
      <c r="R23" s="26">
        <f t="shared" si="1"/>
        <v>5.5</v>
      </c>
    </row>
    <row r="24" spans="1:19" s="9" customFormat="1" ht="24" x14ac:dyDescent="0.2">
      <c r="A24" s="7" t="s">
        <v>31</v>
      </c>
      <c r="B24" s="14" t="s">
        <v>139</v>
      </c>
      <c r="C24" s="8" t="s">
        <v>369</v>
      </c>
      <c r="D24" s="13" t="s">
        <v>368</v>
      </c>
      <c r="E24" s="55">
        <v>42529</v>
      </c>
      <c r="F24" s="55">
        <v>42529</v>
      </c>
      <c r="G24" s="13" t="s">
        <v>18</v>
      </c>
      <c r="H24" s="52"/>
      <c r="I24" s="74"/>
      <c r="J24" s="46"/>
      <c r="K24" s="53">
        <v>14</v>
      </c>
      <c r="L24" s="113"/>
      <c r="M24" s="28"/>
      <c r="N24" s="28"/>
      <c r="O24" s="26">
        <f t="shared" si="0"/>
        <v>14</v>
      </c>
      <c r="P24" s="28"/>
      <c r="Q24" s="28"/>
      <c r="R24" s="26">
        <f t="shared" si="1"/>
        <v>14</v>
      </c>
    </row>
    <row r="25" spans="1:19" s="9" customFormat="1" ht="24" x14ac:dyDescent="0.2">
      <c r="A25" s="7" t="s">
        <v>31</v>
      </c>
      <c r="B25" s="14" t="s">
        <v>139</v>
      </c>
      <c r="C25" s="11" t="s">
        <v>55</v>
      </c>
      <c r="D25" s="20"/>
      <c r="E25" s="55">
        <v>42641</v>
      </c>
      <c r="F25" s="55">
        <v>42642</v>
      </c>
      <c r="G25" s="13" t="s">
        <v>99</v>
      </c>
      <c r="H25" s="27"/>
      <c r="I25" s="74"/>
      <c r="J25" s="71">
        <v>285.25</v>
      </c>
      <c r="K25" s="28"/>
      <c r="L25" s="115">
        <v>114</v>
      </c>
      <c r="M25" s="27"/>
      <c r="N25" s="27"/>
      <c r="O25" s="26">
        <f t="shared" si="0"/>
        <v>399.25</v>
      </c>
      <c r="P25" s="27"/>
      <c r="Q25" s="27"/>
      <c r="R25" s="26">
        <f t="shared" si="1"/>
        <v>399.25</v>
      </c>
      <c r="S25" s="87"/>
    </row>
    <row r="26" spans="1:19" s="9" customFormat="1" ht="12" x14ac:dyDescent="0.2">
      <c r="A26" s="10" t="s">
        <v>374</v>
      </c>
      <c r="B26" s="37" t="s">
        <v>375</v>
      </c>
      <c r="C26" s="11" t="s">
        <v>55</v>
      </c>
      <c r="D26" s="20"/>
      <c r="E26" s="55">
        <v>42640</v>
      </c>
      <c r="F26" s="55">
        <v>42642</v>
      </c>
      <c r="G26" s="13" t="s">
        <v>99</v>
      </c>
      <c r="H26" s="27"/>
      <c r="I26" s="74"/>
      <c r="J26" s="71">
        <v>209.25</v>
      </c>
      <c r="K26" s="28"/>
      <c r="L26" s="115">
        <v>238</v>
      </c>
      <c r="M26" s="27"/>
      <c r="N26" s="27"/>
      <c r="O26" s="26">
        <f t="shared" si="0"/>
        <v>447.25</v>
      </c>
      <c r="P26" s="27"/>
      <c r="Q26" s="27"/>
      <c r="R26" s="26">
        <f t="shared" si="1"/>
        <v>447.25</v>
      </c>
      <c r="S26" s="87"/>
    </row>
    <row r="27" spans="1:19" s="9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42641</v>
      </c>
      <c r="F27" s="55">
        <v>42642</v>
      </c>
      <c r="G27" s="13" t="s">
        <v>99</v>
      </c>
      <c r="H27" s="27"/>
      <c r="I27" s="74"/>
      <c r="J27" s="27"/>
      <c r="K27" s="28"/>
      <c r="L27" s="115">
        <v>114</v>
      </c>
      <c r="M27" s="27"/>
      <c r="N27" s="27"/>
      <c r="O27" s="26">
        <f t="shared" si="0"/>
        <v>114</v>
      </c>
      <c r="P27" s="27"/>
      <c r="Q27" s="27"/>
      <c r="R27" s="26">
        <f t="shared" si="1"/>
        <v>114</v>
      </c>
      <c r="S27" s="87"/>
    </row>
    <row r="28" spans="1:19" s="9" customFormat="1" ht="12" x14ac:dyDescent="0.2">
      <c r="A28" s="37" t="s">
        <v>50</v>
      </c>
      <c r="B28" s="18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71">
        <f>361.25+20</f>
        <v>381.25</v>
      </c>
      <c r="K28" s="28"/>
      <c r="L28" s="115">
        <v>114</v>
      </c>
      <c r="M28" s="27"/>
      <c r="N28" s="27"/>
      <c r="O28" s="26">
        <f t="shared" si="0"/>
        <v>495.25</v>
      </c>
      <c r="P28" s="27"/>
      <c r="Q28" s="27"/>
      <c r="R28" s="26">
        <f t="shared" si="1"/>
        <v>495.25</v>
      </c>
      <c r="S28" s="87"/>
    </row>
    <row r="29" spans="1:19" s="9" customFormat="1" ht="12" x14ac:dyDescent="0.2">
      <c r="A29" s="10" t="s">
        <v>372</v>
      </c>
      <c r="B29" s="37" t="s">
        <v>390</v>
      </c>
      <c r="C29" s="11" t="s">
        <v>55</v>
      </c>
      <c r="D29" s="20"/>
      <c r="E29" s="55">
        <v>42641</v>
      </c>
      <c r="F29" s="55">
        <v>42642</v>
      </c>
      <c r="G29" s="13" t="s">
        <v>99</v>
      </c>
      <c r="H29" s="27"/>
      <c r="I29" s="74"/>
      <c r="J29" s="71">
        <f>361.25+20</f>
        <v>381.25</v>
      </c>
      <c r="K29" s="53">
        <v>70</v>
      </c>
      <c r="L29" s="115">
        <v>114</v>
      </c>
      <c r="M29" s="27"/>
      <c r="N29" s="27"/>
      <c r="O29" s="26">
        <f t="shared" si="0"/>
        <v>565.25</v>
      </c>
      <c r="P29" s="27"/>
      <c r="Q29" s="27"/>
      <c r="R29" s="26">
        <f t="shared" si="1"/>
        <v>565.25</v>
      </c>
      <c r="S29" s="87"/>
    </row>
    <row r="30" spans="1:19" s="9" customFormat="1" ht="12" x14ac:dyDescent="0.2">
      <c r="A30" s="10" t="s">
        <v>205</v>
      </c>
      <c r="B30" s="18" t="s">
        <v>37</v>
      </c>
      <c r="C30" s="11" t="s">
        <v>55</v>
      </c>
      <c r="D30" s="20"/>
      <c r="E30" s="55">
        <v>42641</v>
      </c>
      <c r="F30" s="55">
        <v>42642</v>
      </c>
      <c r="G30" s="13" t="s">
        <v>99</v>
      </c>
      <c r="H30" s="27"/>
      <c r="I30" s="74"/>
      <c r="J30" s="27"/>
      <c r="K30" s="28"/>
      <c r="L30" s="115">
        <v>114</v>
      </c>
      <c r="M30" s="27"/>
      <c r="N30" s="27"/>
      <c r="O30" s="26">
        <f t="shared" si="0"/>
        <v>114</v>
      </c>
      <c r="P30" s="27"/>
      <c r="Q30" s="27"/>
      <c r="R30" s="26">
        <f t="shared" si="1"/>
        <v>114</v>
      </c>
      <c r="S30" s="87"/>
    </row>
    <row r="31" spans="1:19" s="9" customFormat="1" ht="12" x14ac:dyDescent="0.2">
      <c r="A31" s="10" t="s">
        <v>359</v>
      </c>
      <c r="B31" s="8" t="s">
        <v>25</v>
      </c>
      <c r="C31" s="11" t="s">
        <v>64</v>
      </c>
      <c r="D31" s="8" t="s">
        <v>310</v>
      </c>
      <c r="E31" s="55">
        <v>42622</v>
      </c>
      <c r="F31" s="55">
        <v>42623</v>
      </c>
      <c r="G31" s="10" t="s">
        <v>118</v>
      </c>
      <c r="H31" s="74"/>
      <c r="I31" s="102"/>
      <c r="J31" s="71">
        <f>255.12+155.12</f>
        <v>410.24</v>
      </c>
      <c r="K31" s="28"/>
      <c r="L31" s="113"/>
      <c r="M31" s="27"/>
      <c r="N31" s="27"/>
      <c r="O31" s="26">
        <f t="shared" si="0"/>
        <v>410.24</v>
      </c>
      <c r="P31" s="27"/>
      <c r="Q31" s="27"/>
      <c r="R31" s="26">
        <f t="shared" si="1"/>
        <v>410.24</v>
      </c>
      <c r="S31" s="12"/>
    </row>
    <row r="32" spans="1:19" s="9" customFormat="1" ht="12" x14ac:dyDescent="0.2">
      <c r="A32" s="10" t="s">
        <v>359</v>
      </c>
      <c r="B32" s="18" t="s">
        <v>25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71">
        <f>209.25</f>
        <v>209.25</v>
      </c>
      <c r="K32" s="28"/>
      <c r="L32" s="115">
        <v>114</v>
      </c>
      <c r="M32" s="27"/>
      <c r="N32" s="27"/>
      <c r="O32" s="26">
        <f t="shared" si="0"/>
        <v>323.25</v>
      </c>
      <c r="P32" s="27"/>
      <c r="Q32" s="27"/>
      <c r="R32" s="26">
        <f t="shared" si="1"/>
        <v>323.25</v>
      </c>
      <c r="S32" s="87"/>
    </row>
    <row r="33" spans="1:19" s="9" customFormat="1" ht="12" x14ac:dyDescent="0.2">
      <c r="A33" s="37" t="s">
        <v>48</v>
      </c>
      <c r="B33" s="18" t="s">
        <v>25</v>
      </c>
      <c r="C33" s="11" t="s">
        <v>55</v>
      </c>
      <c r="D33" s="20"/>
      <c r="E33" s="55">
        <v>42641</v>
      </c>
      <c r="F33" s="55">
        <v>42642</v>
      </c>
      <c r="G33" s="13" t="s">
        <v>99</v>
      </c>
      <c r="H33" s="27"/>
      <c r="I33" s="74"/>
      <c r="J33" s="71">
        <f>73.87+158.12</f>
        <v>231.99</v>
      </c>
      <c r="K33" s="28"/>
      <c r="L33" s="115">
        <v>114</v>
      </c>
      <c r="M33" s="27"/>
      <c r="N33" s="27"/>
      <c r="O33" s="26">
        <f t="shared" si="0"/>
        <v>345.99</v>
      </c>
      <c r="P33" s="27"/>
      <c r="Q33" s="27"/>
      <c r="R33" s="26">
        <f t="shared" si="1"/>
        <v>345.99</v>
      </c>
      <c r="S33" s="87"/>
    </row>
    <row r="34" spans="1:19" s="9" customFormat="1" ht="24" x14ac:dyDescent="0.2">
      <c r="A34" s="37" t="s">
        <v>133</v>
      </c>
      <c r="B34" s="8" t="s">
        <v>380</v>
      </c>
      <c r="C34" s="11" t="s">
        <v>107</v>
      </c>
      <c r="D34" s="18" t="s">
        <v>364</v>
      </c>
      <c r="E34" s="58">
        <v>42527</v>
      </c>
      <c r="F34" s="58">
        <v>42527</v>
      </c>
      <c r="G34" s="57" t="s">
        <v>18</v>
      </c>
      <c r="H34" s="37"/>
      <c r="I34" s="37"/>
      <c r="J34" s="46"/>
      <c r="K34" s="135">
        <v>19</v>
      </c>
      <c r="L34" s="114"/>
      <c r="M34" s="46"/>
      <c r="N34" s="48"/>
      <c r="O34" s="26">
        <f t="shared" ref="O34:O57" si="2">SUM(J34:N34)</f>
        <v>19</v>
      </c>
      <c r="P34" s="48"/>
      <c r="Q34" s="48"/>
      <c r="R34" s="26">
        <f t="shared" ref="R34:R57" si="3">SUM(O34:Q34)</f>
        <v>19</v>
      </c>
      <c r="S34" s="118"/>
    </row>
    <row r="35" spans="1:19" s="9" customFormat="1" ht="12" x14ac:dyDescent="0.2">
      <c r="A35" s="37" t="s">
        <v>133</v>
      </c>
      <c r="B35" s="8" t="s">
        <v>380</v>
      </c>
      <c r="C35" s="11" t="s">
        <v>201</v>
      </c>
      <c r="D35" s="18" t="s">
        <v>363</v>
      </c>
      <c r="E35" s="58">
        <v>42542</v>
      </c>
      <c r="F35" s="58">
        <v>42542</v>
      </c>
      <c r="G35" s="57" t="s">
        <v>18</v>
      </c>
      <c r="H35" s="37"/>
      <c r="I35" s="37"/>
      <c r="J35" s="46"/>
      <c r="K35" s="135">
        <f>13+13</f>
        <v>26</v>
      </c>
      <c r="L35" s="114"/>
      <c r="M35" s="46"/>
      <c r="N35" s="48"/>
      <c r="O35" s="26">
        <f t="shared" si="2"/>
        <v>26</v>
      </c>
      <c r="P35" s="48"/>
      <c r="Q35" s="48"/>
      <c r="R35" s="26">
        <f t="shared" si="3"/>
        <v>26</v>
      </c>
      <c r="S35" s="118"/>
    </row>
    <row r="36" spans="1:19" s="9" customFormat="1" ht="12" x14ac:dyDescent="0.2">
      <c r="A36" s="37" t="s">
        <v>133</v>
      </c>
      <c r="B36" s="8" t="s">
        <v>380</v>
      </c>
      <c r="C36" s="11" t="s">
        <v>186</v>
      </c>
      <c r="D36" s="18" t="s">
        <v>365</v>
      </c>
      <c r="E36" s="58">
        <v>42572</v>
      </c>
      <c r="F36" s="58">
        <v>42572</v>
      </c>
      <c r="G36" s="57" t="s">
        <v>18</v>
      </c>
      <c r="H36" s="37"/>
      <c r="I36" s="37"/>
      <c r="J36" s="46"/>
      <c r="K36" s="135">
        <v>6.5</v>
      </c>
      <c r="L36" s="114"/>
      <c r="M36" s="46"/>
      <c r="N36" s="48"/>
      <c r="O36" s="26">
        <f t="shared" si="2"/>
        <v>6.5</v>
      </c>
      <c r="P36" s="48"/>
      <c r="Q36" s="48"/>
      <c r="R36" s="26">
        <f t="shared" si="3"/>
        <v>6.5</v>
      </c>
      <c r="S36" s="118"/>
    </row>
    <row r="37" spans="1:19" s="9" customFormat="1" ht="12" x14ac:dyDescent="0.2">
      <c r="A37" s="37" t="s">
        <v>133</v>
      </c>
      <c r="B37" s="8" t="s">
        <v>380</v>
      </c>
      <c r="C37" s="11" t="s">
        <v>107</v>
      </c>
      <c r="D37" s="18" t="s">
        <v>366</v>
      </c>
      <c r="E37" s="58">
        <v>42580</v>
      </c>
      <c r="F37" s="58">
        <v>42580</v>
      </c>
      <c r="G37" s="57" t="s">
        <v>135</v>
      </c>
      <c r="H37" s="37"/>
      <c r="I37" s="37"/>
      <c r="J37" s="93">
        <v>591.67999999999995</v>
      </c>
      <c r="K37" s="135">
        <f>45+44+49</f>
        <v>138</v>
      </c>
      <c r="L37" s="114"/>
      <c r="M37" s="46"/>
      <c r="N37" s="48"/>
      <c r="O37" s="26">
        <f t="shared" si="2"/>
        <v>729.68</v>
      </c>
      <c r="P37" s="48"/>
      <c r="Q37" s="48"/>
      <c r="R37" s="26">
        <f t="shared" si="3"/>
        <v>729.68</v>
      </c>
      <c r="S37" s="118"/>
    </row>
    <row r="38" spans="1:19" s="9" customFormat="1" ht="12" x14ac:dyDescent="0.2">
      <c r="A38" s="37" t="s">
        <v>133</v>
      </c>
      <c r="B38" s="8" t="s">
        <v>380</v>
      </c>
      <c r="C38" s="11" t="s">
        <v>107</v>
      </c>
      <c r="D38" s="18" t="s">
        <v>367</v>
      </c>
      <c r="E38" s="58">
        <v>42585</v>
      </c>
      <c r="F38" s="58">
        <v>42585</v>
      </c>
      <c r="G38" s="57" t="s">
        <v>18</v>
      </c>
      <c r="H38" s="37"/>
      <c r="I38" s="37"/>
      <c r="J38" s="46"/>
      <c r="K38" s="135">
        <v>12</v>
      </c>
      <c r="L38" s="114"/>
      <c r="M38" s="46"/>
      <c r="N38" s="48"/>
      <c r="O38" s="26">
        <f t="shared" si="2"/>
        <v>12</v>
      </c>
      <c r="P38" s="48"/>
      <c r="Q38" s="48"/>
      <c r="R38" s="26">
        <f t="shared" si="3"/>
        <v>12</v>
      </c>
      <c r="S38" s="118"/>
    </row>
    <row r="39" spans="1:19" s="9" customFormat="1" ht="12" x14ac:dyDescent="0.2">
      <c r="A39" s="37" t="s">
        <v>133</v>
      </c>
      <c r="B39" s="8" t="s">
        <v>380</v>
      </c>
      <c r="C39" s="11" t="s">
        <v>55</v>
      </c>
      <c r="D39" s="20"/>
      <c r="E39" s="55">
        <v>42641</v>
      </c>
      <c r="F39" s="55">
        <v>42642</v>
      </c>
      <c r="G39" s="13" t="s">
        <v>99</v>
      </c>
      <c r="H39" s="27"/>
      <c r="I39" s="74"/>
      <c r="J39" s="71">
        <f>361.25+20</f>
        <v>381.25</v>
      </c>
      <c r="K39" s="28"/>
      <c r="L39" s="115">
        <v>114</v>
      </c>
      <c r="M39" s="27"/>
      <c r="N39" s="27"/>
      <c r="O39" s="26">
        <f t="shared" si="2"/>
        <v>495.25</v>
      </c>
      <c r="P39" s="27"/>
      <c r="Q39" s="27"/>
      <c r="R39" s="26">
        <f t="shared" si="3"/>
        <v>495.25</v>
      </c>
      <c r="S39" s="87"/>
    </row>
    <row r="40" spans="1:19" s="9" customFormat="1" ht="12" x14ac:dyDescent="0.2">
      <c r="A40" s="37" t="s">
        <v>133</v>
      </c>
      <c r="B40" s="8" t="s">
        <v>380</v>
      </c>
      <c r="C40" s="11" t="s">
        <v>186</v>
      </c>
      <c r="D40" s="18" t="s">
        <v>377</v>
      </c>
      <c r="E40" s="58">
        <v>42688</v>
      </c>
      <c r="F40" s="58">
        <v>42691</v>
      </c>
      <c r="G40" s="57" t="s">
        <v>378</v>
      </c>
      <c r="H40" s="37"/>
      <c r="I40" s="37"/>
      <c r="J40" s="93">
        <f>376.61+83.63</f>
        <v>460.24</v>
      </c>
      <c r="K40" s="51"/>
      <c r="L40" s="114"/>
      <c r="M40" s="46"/>
      <c r="N40" s="48"/>
      <c r="O40" s="26">
        <f t="shared" si="2"/>
        <v>460.24</v>
      </c>
      <c r="P40" s="48"/>
      <c r="Q40" s="48"/>
      <c r="R40" s="26">
        <f t="shared" si="3"/>
        <v>460.24</v>
      </c>
      <c r="S40" s="118"/>
    </row>
    <row r="41" spans="1:19" s="9" customFormat="1" ht="12" x14ac:dyDescent="0.2">
      <c r="A41" s="37" t="s">
        <v>207</v>
      </c>
      <c r="B41" s="18" t="s">
        <v>25</v>
      </c>
      <c r="C41" s="11" t="s">
        <v>55</v>
      </c>
      <c r="D41" s="20"/>
      <c r="E41" s="55">
        <v>42641</v>
      </c>
      <c r="F41" s="55">
        <v>42642</v>
      </c>
      <c r="G41" s="13" t="s">
        <v>99</v>
      </c>
      <c r="H41" s="27"/>
      <c r="I41" s="74"/>
      <c r="J41" s="71">
        <v>285.25</v>
      </c>
      <c r="K41" s="28"/>
      <c r="L41" s="115">
        <v>114</v>
      </c>
      <c r="M41" s="27"/>
      <c r="N41" s="27"/>
      <c r="O41" s="26">
        <f t="shared" si="2"/>
        <v>399.25</v>
      </c>
      <c r="P41" s="27"/>
      <c r="Q41" s="27"/>
      <c r="R41" s="26">
        <f t="shared" si="3"/>
        <v>399.25</v>
      </c>
      <c r="S41" s="87"/>
    </row>
    <row r="42" spans="1:19" s="92" customFormat="1" ht="12" x14ac:dyDescent="0.2">
      <c r="A42" s="10" t="s">
        <v>373</v>
      </c>
      <c r="B42" s="18" t="s">
        <v>25</v>
      </c>
      <c r="C42" s="11" t="s">
        <v>55</v>
      </c>
      <c r="D42" s="20"/>
      <c r="E42" s="55">
        <v>42641</v>
      </c>
      <c r="F42" s="55">
        <v>42642</v>
      </c>
      <c r="G42" s="13" t="s">
        <v>99</v>
      </c>
      <c r="H42" s="27"/>
      <c r="I42" s="74"/>
      <c r="J42" s="71">
        <v>285.25</v>
      </c>
      <c r="K42" s="28"/>
      <c r="L42" s="115">
        <v>114</v>
      </c>
      <c r="M42" s="27"/>
      <c r="N42" s="27"/>
      <c r="O42" s="26">
        <f t="shared" si="2"/>
        <v>399.25</v>
      </c>
      <c r="P42" s="27"/>
      <c r="Q42" s="27"/>
      <c r="R42" s="26">
        <f t="shared" si="3"/>
        <v>399.25</v>
      </c>
      <c r="S42" s="87"/>
    </row>
    <row r="43" spans="1:19" s="92" customFormat="1" ht="12" x14ac:dyDescent="0.2">
      <c r="A43" s="37" t="s">
        <v>209</v>
      </c>
      <c r="B43" s="18" t="s">
        <v>25</v>
      </c>
      <c r="C43" s="11" t="s">
        <v>55</v>
      </c>
      <c r="D43" s="20"/>
      <c r="E43" s="55">
        <v>42641</v>
      </c>
      <c r="F43" s="55">
        <v>42642</v>
      </c>
      <c r="G43" s="13" t="s">
        <v>99</v>
      </c>
      <c r="H43" s="27"/>
      <c r="I43" s="74"/>
      <c r="J43" s="71">
        <f>574.25+20</f>
        <v>594.25</v>
      </c>
      <c r="K43" s="53">
        <v>59</v>
      </c>
      <c r="L43" s="115">
        <v>114</v>
      </c>
      <c r="M43" s="27"/>
      <c r="N43" s="27"/>
      <c r="O43" s="26">
        <f t="shared" si="2"/>
        <v>767.25</v>
      </c>
      <c r="P43" s="27"/>
      <c r="Q43" s="27"/>
      <c r="R43" s="26">
        <f t="shared" si="3"/>
        <v>767.25</v>
      </c>
      <c r="S43" s="87"/>
    </row>
    <row r="44" spans="1:19" s="9" customFormat="1" ht="12" x14ac:dyDescent="0.2">
      <c r="A44" s="10" t="s">
        <v>38</v>
      </c>
      <c r="B44" s="13" t="s">
        <v>167</v>
      </c>
      <c r="C44" s="8" t="s">
        <v>312</v>
      </c>
      <c r="D44" s="8" t="s">
        <v>360</v>
      </c>
      <c r="E44" s="55">
        <v>42472</v>
      </c>
      <c r="F44" s="55">
        <v>42472</v>
      </c>
      <c r="G44" s="13" t="s">
        <v>18</v>
      </c>
      <c r="H44" s="27"/>
      <c r="I44" s="74"/>
      <c r="J44" s="28"/>
      <c r="K44" s="53">
        <v>35.200000000000003</v>
      </c>
      <c r="L44" s="113"/>
      <c r="M44" s="28"/>
      <c r="N44" s="28"/>
      <c r="O44" s="26">
        <f t="shared" si="2"/>
        <v>35.200000000000003</v>
      </c>
      <c r="P44" s="28"/>
      <c r="Q44" s="28"/>
      <c r="R44" s="26">
        <f t="shared" si="3"/>
        <v>35.200000000000003</v>
      </c>
      <c r="S44" s="12"/>
    </row>
    <row r="45" spans="1:19" s="92" customFormat="1" ht="12" x14ac:dyDescent="0.2">
      <c r="A45" s="10" t="s">
        <v>38</v>
      </c>
      <c r="B45" s="13" t="s">
        <v>167</v>
      </c>
      <c r="C45" s="11" t="s">
        <v>64</v>
      </c>
      <c r="D45" s="8" t="s">
        <v>310</v>
      </c>
      <c r="E45" s="55">
        <v>42523</v>
      </c>
      <c r="F45" s="55">
        <v>42523</v>
      </c>
      <c r="G45" s="13" t="s">
        <v>155</v>
      </c>
      <c r="H45" s="27"/>
      <c r="I45" s="74"/>
      <c r="J45" s="28"/>
      <c r="K45" s="53">
        <v>89.2</v>
      </c>
      <c r="L45" s="113"/>
      <c r="M45" s="28"/>
      <c r="N45" s="28"/>
      <c r="O45" s="26">
        <f t="shared" si="2"/>
        <v>89.2</v>
      </c>
      <c r="P45" s="28"/>
      <c r="Q45" s="28"/>
      <c r="R45" s="26">
        <f t="shared" si="3"/>
        <v>89.2</v>
      </c>
      <c r="S45" s="12"/>
    </row>
    <row r="46" spans="1:19" s="134" customFormat="1" ht="12" x14ac:dyDescent="0.2">
      <c r="A46" s="10" t="s">
        <v>38</v>
      </c>
      <c r="B46" s="13" t="s">
        <v>167</v>
      </c>
      <c r="C46" s="13" t="s">
        <v>346</v>
      </c>
      <c r="D46" s="8"/>
      <c r="E46" s="55">
        <v>42530</v>
      </c>
      <c r="F46" s="55">
        <v>42530</v>
      </c>
      <c r="G46" s="13" t="s">
        <v>384</v>
      </c>
      <c r="H46" s="27"/>
      <c r="I46" s="74"/>
      <c r="J46" s="28"/>
      <c r="K46" s="53">
        <v>35</v>
      </c>
      <c r="L46" s="113"/>
      <c r="M46" s="28"/>
      <c r="N46" s="28"/>
      <c r="O46" s="26">
        <f t="shared" si="2"/>
        <v>35</v>
      </c>
      <c r="P46" s="28"/>
      <c r="Q46" s="28"/>
      <c r="R46" s="26">
        <f t="shared" si="3"/>
        <v>35</v>
      </c>
    </row>
    <row r="47" spans="1:19" s="12" customFormat="1" ht="24" x14ac:dyDescent="0.2">
      <c r="A47" s="10" t="s">
        <v>38</v>
      </c>
      <c r="B47" s="13" t="s">
        <v>167</v>
      </c>
      <c r="C47" s="8" t="s">
        <v>369</v>
      </c>
      <c r="D47" s="8" t="s">
        <v>361</v>
      </c>
      <c r="E47" s="55">
        <v>42531</v>
      </c>
      <c r="F47" s="55">
        <v>42531</v>
      </c>
      <c r="G47" s="13" t="s">
        <v>362</v>
      </c>
      <c r="H47" s="27"/>
      <c r="I47" s="74"/>
      <c r="J47" s="28"/>
      <c r="K47" s="53">
        <v>129.19999999999999</v>
      </c>
      <c r="L47" s="113"/>
      <c r="M47" s="28"/>
      <c r="N47" s="28"/>
      <c r="O47" s="26">
        <f t="shared" si="2"/>
        <v>129.19999999999999</v>
      </c>
      <c r="P47" s="28"/>
      <c r="Q47" s="28"/>
      <c r="R47" s="26">
        <f t="shared" si="3"/>
        <v>129.19999999999999</v>
      </c>
    </row>
    <row r="48" spans="1:19" s="12" customFormat="1" ht="12" x14ac:dyDescent="0.2">
      <c r="A48" s="10" t="s">
        <v>38</v>
      </c>
      <c r="B48" s="13" t="s">
        <v>167</v>
      </c>
      <c r="C48" s="8" t="s">
        <v>312</v>
      </c>
      <c r="D48" s="8" t="s">
        <v>360</v>
      </c>
      <c r="E48" s="55">
        <v>42533</v>
      </c>
      <c r="F48" s="55">
        <v>42533</v>
      </c>
      <c r="G48" s="13" t="s">
        <v>129</v>
      </c>
      <c r="H48" s="27"/>
      <c r="I48" s="74"/>
      <c r="J48" s="28"/>
      <c r="K48" s="53">
        <v>55.2</v>
      </c>
      <c r="L48" s="113"/>
      <c r="M48" s="28"/>
      <c r="N48" s="28"/>
      <c r="O48" s="26">
        <f t="shared" si="2"/>
        <v>55.2</v>
      </c>
      <c r="P48" s="28"/>
      <c r="Q48" s="28"/>
      <c r="R48" s="26">
        <f t="shared" si="3"/>
        <v>55.2</v>
      </c>
    </row>
    <row r="49" spans="1:19" s="12" customFormat="1" ht="12" x14ac:dyDescent="0.2">
      <c r="A49" s="10" t="s">
        <v>38</v>
      </c>
      <c r="B49" s="13" t="s">
        <v>167</v>
      </c>
      <c r="C49" s="8" t="s">
        <v>385</v>
      </c>
      <c r="D49" s="8" t="s">
        <v>386</v>
      </c>
      <c r="E49" s="55">
        <v>42537</v>
      </c>
      <c r="F49" s="55">
        <v>42537</v>
      </c>
      <c r="G49" s="13" t="s">
        <v>18</v>
      </c>
      <c r="H49" s="27"/>
      <c r="I49" s="74"/>
      <c r="J49" s="28"/>
      <c r="K49" s="53">
        <v>10</v>
      </c>
      <c r="L49" s="113"/>
      <c r="M49" s="28"/>
      <c r="N49" s="28"/>
      <c r="O49" s="26">
        <f>SUM(J49:N49)</f>
        <v>10</v>
      </c>
      <c r="P49" s="28"/>
      <c r="Q49" s="28"/>
      <c r="R49" s="26">
        <f>SUM(O49:Q49)</f>
        <v>10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360</v>
      </c>
      <c r="E50" s="55">
        <v>42538</v>
      </c>
      <c r="F50" s="55">
        <v>42538</v>
      </c>
      <c r="G50" s="13" t="s">
        <v>379</v>
      </c>
      <c r="H50" s="27"/>
      <c r="I50" s="74"/>
      <c r="J50" s="28"/>
      <c r="K50" s="53">
        <f>23.2</f>
        <v>23.2</v>
      </c>
      <c r="L50" s="113"/>
      <c r="M50" s="28"/>
      <c r="N50" s="28"/>
      <c r="O50" s="26">
        <f t="shared" si="2"/>
        <v>23.2</v>
      </c>
      <c r="P50" s="28"/>
      <c r="Q50" s="28"/>
      <c r="R50" s="26">
        <f t="shared" si="3"/>
        <v>23.2</v>
      </c>
    </row>
    <row r="51" spans="1:19" s="134" customFormat="1" ht="12" x14ac:dyDescent="0.2">
      <c r="A51" s="10" t="s">
        <v>38</v>
      </c>
      <c r="B51" s="13" t="s">
        <v>167</v>
      </c>
      <c r="C51" s="8" t="s">
        <v>369</v>
      </c>
      <c r="D51" s="8" t="s">
        <v>387</v>
      </c>
      <c r="E51" s="55">
        <v>42545</v>
      </c>
      <c r="F51" s="55">
        <v>42545</v>
      </c>
      <c r="G51" s="13" t="s">
        <v>18</v>
      </c>
      <c r="H51" s="27"/>
      <c r="I51" s="74"/>
      <c r="J51" s="28"/>
      <c r="K51" s="53">
        <v>2.75</v>
      </c>
      <c r="L51" s="113"/>
      <c r="M51" s="28"/>
      <c r="N51" s="28"/>
      <c r="O51" s="26">
        <f t="shared" si="2"/>
        <v>2.75</v>
      </c>
      <c r="P51" s="28"/>
      <c r="Q51" s="28"/>
      <c r="R51" s="26">
        <f t="shared" si="3"/>
        <v>2.75</v>
      </c>
    </row>
    <row r="52" spans="1:19" s="12" customFormat="1" ht="12" x14ac:dyDescent="0.2">
      <c r="A52" s="10" t="s">
        <v>38</v>
      </c>
      <c r="B52" s="13" t="s">
        <v>167</v>
      </c>
      <c r="C52" s="8" t="s">
        <v>298</v>
      </c>
      <c r="D52" s="8"/>
      <c r="E52" s="55">
        <v>42548</v>
      </c>
      <c r="F52" s="55">
        <v>42548</v>
      </c>
      <c r="G52" s="13" t="s">
        <v>18</v>
      </c>
      <c r="H52" s="27"/>
      <c r="I52" s="74"/>
      <c r="J52" s="28"/>
      <c r="K52" s="53">
        <v>18</v>
      </c>
      <c r="L52" s="113"/>
      <c r="M52" s="28"/>
      <c r="N52" s="28"/>
      <c r="O52" s="26">
        <f t="shared" si="2"/>
        <v>18</v>
      </c>
      <c r="P52" s="28"/>
      <c r="Q52" s="28"/>
      <c r="R52" s="26">
        <f t="shared" si="3"/>
        <v>18</v>
      </c>
    </row>
    <row r="53" spans="1:19" s="9" customFormat="1" ht="12" x14ac:dyDescent="0.2">
      <c r="A53" s="10" t="s">
        <v>38</v>
      </c>
      <c r="B53" s="13" t="s">
        <v>167</v>
      </c>
      <c r="C53" s="8" t="s">
        <v>369</v>
      </c>
      <c r="D53" s="8" t="s">
        <v>371</v>
      </c>
      <c r="E53" s="55">
        <v>42632</v>
      </c>
      <c r="F53" s="55">
        <v>42632</v>
      </c>
      <c r="G53" s="10" t="s">
        <v>18</v>
      </c>
      <c r="H53" s="27"/>
      <c r="I53" s="74"/>
      <c r="J53" s="28"/>
      <c r="K53" s="53">
        <v>3.55</v>
      </c>
      <c r="L53" s="113"/>
      <c r="M53" s="28"/>
      <c r="N53" s="28"/>
      <c r="O53" s="26">
        <f t="shared" si="2"/>
        <v>3.55</v>
      </c>
      <c r="P53" s="28"/>
      <c r="Q53" s="28"/>
      <c r="R53" s="26">
        <f t="shared" si="3"/>
        <v>3.55</v>
      </c>
      <c r="S53" s="12"/>
    </row>
    <row r="54" spans="1:19" s="9" customFormat="1" ht="12" x14ac:dyDescent="0.2">
      <c r="A54" s="10" t="s">
        <v>38</v>
      </c>
      <c r="B54" s="13" t="s">
        <v>167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71">
        <v>285.25</v>
      </c>
      <c r="K54" s="28"/>
      <c r="L54" s="115">
        <v>114</v>
      </c>
      <c r="M54" s="27"/>
      <c r="N54" s="27"/>
      <c r="O54" s="26">
        <f t="shared" si="2"/>
        <v>399.25</v>
      </c>
      <c r="P54" s="27"/>
      <c r="Q54" s="27"/>
      <c r="R54" s="26">
        <f t="shared" si="3"/>
        <v>399.25</v>
      </c>
      <c r="S54" s="87"/>
    </row>
    <row r="55" spans="1:19" s="9" customFormat="1" ht="12" x14ac:dyDescent="0.2">
      <c r="A55" s="10" t="s">
        <v>323</v>
      </c>
      <c r="B55" s="18" t="s">
        <v>25</v>
      </c>
      <c r="C55" s="11" t="s">
        <v>55</v>
      </c>
      <c r="D55" s="20"/>
      <c r="E55" s="55">
        <v>42641</v>
      </c>
      <c r="F55" s="55">
        <v>42642</v>
      </c>
      <c r="G55" s="13" t="s">
        <v>99</v>
      </c>
      <c r="H55" s="27"/>
      <c r="I55" s="74"/>
      <c r="J55" s="27"/>
      <c r="K55" s="28"/>
      <c r="L55" s="115">
        <v>114</v>
      </c>
      <c r="M55" s="27"/>
      <c r="N55" s="27"/>
      <c r="O55" s="26">
        <f t="shared" si="2"/>
        <v>114</v>
      </c>
      <c r="P55" s="27"/>
      <c r="Q55" s="27"/>
      <c r="R55" s="26">
        <f t="shared" si="3"/>
        <v>114</v>
      </c>
      <c r="S55" s="87"/>
    </row>
    <row r="56" spans="1:19" s="9" customFormat="1" ht="12" x14ac:dyDescent="0.2">
      <c r="A56" s="10" t="s">
        <v>234</v>
      </c>
      <c r="B56" s="8" t="s">
        <v>25</v>
      </c>
      <c r="C56" s="11" t="s">
        <v>55</v>
      </c>
      <c r="D56" s="20"/>
      <c r="E56" s="55">
        <v>42543</v>
      </c>
      <c r="F56" s="55">
        <v>42544</v>
      </c>
      <c r="G56" s="13" t="s">
        <v>18</v>
      </c>
      <c r="H56" s="27"/>
      <c r="I56" s="74"/>
      <c r="J56" s="27"/>
      <c r="K56" s="53">
        <f>88+35</f>
        <v>123</v>
      </c>
      <c r="L56" s="113"/>
      <c r="M56" s="27"/>
      <c r="N56" s="27"/>
      <c r="O56" s="26">
        <f t="shared" si="2"/>
        <v>123</v>
      </c>
      <c r="P56" s="27"/>
      <c r="Q56" s="27"/>
      <c r="R56" s="26">
        <f t="shared" si="3"/>
        <v>123</v>
      </c>
      <c r="S56" s="87"/>
    </row>
    <row r="57" spans="1:19" s="9" customFormat="1" ht="12" x14ac:dyDescent="0.2">
      <c r="A57" s="10" t="s">
        <v>234</v>
      </c>
      <c r="B57" s="8" t="s">
        <v>25</v>
      </c>
      <c r="C57" s="11" t="s">
        <v>55</v>
      </c>
      <c r="D57" s="20"/>
      <c r="E57" s="55">
        <v>42641</v>
      </c>
      <c r="F57" s="55">
        <v>42642</v>
      </c>
      <c r="G57" s="13" t="s">
        <v>99</v>
      </c>
      <c r="H57" s="27"/>
      <c r="I57" s="74"/>
      <c r="J57" s="27"/>
      <c r="K57" s="28"/>
      <c r="L57" s="115">
        <v>114</v>
      </c>
      <c r="M57" s="27"/>
      <c r="N57" s="27"/>
      <c r="O57" s="26">
        <f t="shared" si="2"/>
        <v>114</v>
      </c>
      <c r="P57" s="27"/>
      <c r="Q57" s="27"/>
      <c r="R57" s="26">
        <f t="shared" si="3"/>
        <v>114</v>
      </c>
      <c r="S57" s="87"/>
    </row>
  </sheetData>
  <sortState xmlns:xlrd2="http://schemas.microsoft.com/office/spreadsheetml/2017/richdata2"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84"/>
  <sheetViews>
    <sheetView topLeftCell="A19" workbookViewId="0">
      <selection activeCell="C48" sqref="C48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107</v>
      </c>
      <c r="D2" s="8" t="s">
        <v>391</v>
      </c>
      <c r="E2" s="55">
        <v>42541</v>
      </c>
      <c r="F2" s="55">
        <v>42541</v>
      </c>
      <c r="G2" s="10" t="s">
        <v>18</v>
      </c>
      <c r="H2" s="74"/>
      <c r="I2" s="102"/>
      <c r="J2" s="27"/>
      <c r="K2" s="28">
        <v>3</v>
      </c>
      <c r="L2" s="113"/>
      <c r="M2" s="27"/>
      <c r="N2" s="27"/>
      <c r="O2" s="26">
        <f t="shared" ref="O2:O56" si="0">SUM(J2:N2)</f>
        <v>3</v>
      </c>
      <c r="P2" s="27">
        <f t="shared" ref="P2:P56" si="1">(SUM(J2:N2))-O2</f>
        <v>0</v>
      </c>
      <c r="Q2" s="27"/>
      <c r="R2" s="139">
        <f t="shared" ref="R2:R44" si="2">SUM(O2:Q2)</f>
        <v>3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240</v>
      </c>
      <c r="D3" s="8" t="s">
        <v>466</v>
      </c>
      <c r="E3" s="55">
        <v>42542</v>
      </c>
      <c r="F3" s="55">
        <v>42542</v>
      </c>
      <c r="G3" s="10" t="s">
        <v>280</v>
      </c>
      <c r="H3" s="74"/>
      <c r="I3" s="102"/>
      <c r="J3" s="27"/>
      <c r="K3" s="28">
        <v>84</v>
      </c>
      <c r="L3" s="113"/>
      <c r="M3" s="27"/>
      <c r="N3" s="27"/>
      <c r="O3" s="26">
        <f t="shared" si="0"/>
        <v>84</v>
      </c>
      <c r="P3" s="27">
        <f t="shared" si="1"/>
        <v>0</v>
      </c>
      <c r="Q3" s="27"/>
      <c r="R3" s="139">
        <f t="shared" si="2"/>
        <v>84</v>
      </c>
    </row>
    <row r="4" spans="1:19" s="12" customFormat="1" ht="12" x14ac:dyDescent="0.2">
      <c r="A4" s="10" t="s">
        <v>20</v>
      </c>
      <c r="B4" s="10" t="s">
        <v>21</v>
      </c>
      <c r="C4" s="8" t="s">
        <v>312</v>
      </c>
      <c r="D4" s="8" t="s">
        <v>392</v>
      </c>
      <c r="E4" s="55">
        <v>42563</v>
      </c>
      <c r="F4" s="55">
        <v>42563</v>
      </c>
      <c r="G4" s="10" t="s">
        <v>129</v>
      </c>
      <c r="H4" s="74"/>
      <c r="I4" s="102"/>
      <c r="J4" s="27"/>
      <c r="K4" s="140">
        <v>72.8</v>
      </c>
      <c r="L4" s="113"/>
      <c r="M4" s="27"/>
      <c r="N4" s="27"/>
      <c r="O4" s="26">
        <f t="shared" si="0"/>
        <v>72.8</v>
      </c>
      <c r="P4" s="27">
        <f t="shared" si="1"/>
        <v>0</v>
      </c>
      <c r="Q4" s="27"/>
      <c r="R4" s="139">
        <f t="shared" si="2"/>
        <v>72.8</v>
      </c>
      <c r="S4" s="117"/>
    </row>
    <row r="5" spans="1:19" s="12" customFormat="1" ht="12" x14ac:dyDescent="0.2">
      <c r="A5" s="10" t="s">
        <v>20</v>
      </c>
      <c r="B5" s="10" t="s">
        <v>21</v>
      </c>
      <c r="C5" s="8" t="s">
        <v>64</v>
      </c>
      <c r="D5" s="8" t="s">
        <v>310</v>
      </c>
      <c r="E5" s="55">
        <v>42614</v>
      </c>
      <c r="F5" s="55">
        <v>42614</v>
      </c>
      <c r="G5" s="10" t="s">
        <v>155</v>
      </c>
      <c r="H5" s="74"/>
      <c r="I5" s="102"/>
      <c r="J5" s="27"/>
      <c r="K5" s="28">
        <v>105.6</v>
      </c>
      <c r="L5" s="113"/>
      <c r="M5" s="27"/>
      <c r="N5" s="27"/>
      <c r="O5" s="26">
        <f t="shared" si="0"/>
        <v>105.6</v>
      </c>
      <c r="P5" s="27">
        <f t="shared" si="1"/>
        <v>0</v>
      </c>
      <c r="Q5" s="27"/>
      <c r="R5" s="139">
        <f t="shared" si="2"/>
        <v>105.6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64</v>
      </c>
      <c r="D6" s="8" t="s">
        <v>310</v>
      </c>
      <c r="E6" s="55">
        <v>42618</v>
      </c>
      <c r="F6" s="141">
        <v>42618</v>
      </c>
      <c r="G6" s="10" t="s">
        <v>393</v>
      </c>
      <c r="H6" s="74"/>
      <c r="I6" s="102"/>
      <c r="J6" s="27"/>
      <c r="K6" s="28">
        <v>112</v>
      </c>
      <c r="L6" s="113"/>
      <c r="M6" s="27"/>
      <c r="N6" s="27"/>
      <c r="O6" s="26">
        <f t="shared" si="0"/>
        <v>112</v>
      </c>
      <c r="P6" s="27">
        <f t="shared" si="1"/>
        <v>0</v>
      </c>
      <c r="Q6" s="27"/>
      <c r="R6" s="139">
        <f t="shared" si="2"/>
        <v>112</v>
      </c>
      <c r="S6" s="117"/>
    </row>
    <row r="7" spans="1:19" s="12" customFormat="1" ht="12" x14ac:dyDescent="0.2">
      <c r="A7" s="10" t="s">
        <v>20</v>
      </c>
      <c r="B7" s="10" t="s">
        <v>21</v>
      </c>
      <c r="C7" s="11" t="s">
        <v>64</v>
      </c>
      <c r="D7" s="8" t="s">
        <v>310</v>
      </c>
      <c r="E7" s="55">
        <v>42619</v>
      </c>
      <c r="F7" s="55">
        <v>42620</v>
      </c>
      <c r="G7" s="13" t="s">
        <v>384</v>
      </c>
      <c r="H7" s="27"/>
      <c r="I7" s="74"/>
      <c r="J7" s="27"/>
      <c r="K7" s="28">
        <f>58.65+40.92</f>
        <v>99.57</v>
      </c>
      <c r="L7" s="113"/>
      <c r="M7" s="27">
        <v>5</v>
      </c>
      <c r="N7" s="27"/>
      <c r="O7" s="26">
        <f t="shared" si="0"/>
        <v>104.57</v>
      </c>
      <c r="P7" s="27">
        <f t="shared" si="1"/>
        <v>0</v>
      </c>
      <c r="Q7" s="27"/>
      <c r="R7" s="26">
        <f t="shared" si="2"/>
        <v>104.57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64</v>
      </c>
      <c r="D8" s="8" t="s">
        <v>310</v>
      </c>
      <c r="E8" s="55">
        <v>42621</v>
      </c>
      <c r="F8" s="55">
        <v>42621</v>
      </c>
      <c r="G8" s="10" t="s">
        <v>280</v>
      </c>
      <c r="H8" s="74"/>
      <c r="I8" s="102"/>
      <c r="J8" s="27"/>
      <c r="K8" s="28">
        <v>80</v>
      </c>
      <c r="L8" s="113"/>
      <c r="M8" s="27"/>
      <c r="N8" s="27"/>
      <c r="O8" s="26">
        <f t="shared" si="0"/>
        <v>80</v>
      </c>
      <c r="P8" s="27">
        <f t="shared" si="1"/>
        <v>0</v>
      </c>
      <c r="Q8" s="27"/>
      <c r="R8" s="139">
        <f t="shared" si="2"/>
        <v>80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42622</v>
      </c>
      <c r="F9" s="55">
        <v>42623</v>
      </c>
      <c r="G9" s="10" t="s">
        <v>118</v>
      </c>
      <c r="H9" s="74"/>
      <c r="I9" s="102"/>
      <c r="J9" s="27"/>
      <c r="K9" s="28">
        <f>36.6+31.25</f>
        <v>67.849999999999994</v>
      </c>
      <c r="L9" s="113">
        <v>124</v>
      </c>
      <c r="M9" s="27">
        <v>9.99</v>
      </c>
      <c r="N9" s="27"/>
      <c r="O9" s="26">
        <f t="shared" si="0"/>
        <v>201.84</v>
      </c>
      <c r="P9" s="27">
        <f t="shared" si="1"/>
        <v>0</v>
      </c>
      <c r="Q9" s="27"/>
      <c r="R9" s="139">
        <f t="shared" si="2"/>
        <v>201.84</v>
      </c>
    </row>
    <row r="10" spans="1:19" s="12" customFormat="1" ht="12" x14ac:dyDescent="0.2">
      <c r="A10" s="10" t="s">
        <v>20</v>
      </c>
      <c r="B10" s="10" t="s">
        <v>21</v>
      </c>
      <c r="C10" s="8" t="s">
        <v>64</v>
      </c>
      <c r="D10" s="8" t="s">
        <v>310</v>
      </c>
      <c r="E10" s="55">
        <v>42622</v>
      </c>
      <c r="F10" s="55">
        <v>42622</v>
      </c>
      <c r="G10" s="10" t="s">
        <v>166</v>
      </c>
      <c r="H10" s="74"/>
      <c r="I10" s="102"/>
      <c r="J10" s="27"/>
      <c r="K10" s="28">
        <v>75.2</v>
      </c>
      <c r="L10" s="113"/>
      <c r="M10" s="27"/>
      <c r="N10" s="27"/>
      <c r="O10" s="26">
        <f t="shared" si="0"/>
        <v>75.2</v>
      </c>
      <c r="P10" s="27">
        <f t="shared" si="1"/>
        <v>0</v>
      </c>
      <c r="Q10" s="27"/>
      <c r="R10" s="139">
        <f t="shared" si="2"/>
        <v>75.2</v>
      </c>
    </row>
    <row r="11" spans="1:19" s="12" customFormat="1" ht="12" x14ac:dyDescent="0.2">
      <c r="A11" s="10" t="s">
        <v>20</v>
      </c>
      <c r="B11" s="10" t="s">
        <v>21</v>
      </c>
      <c r="C11" s="8" t="s">
        <v>64</v>
      </c>
      <c r="D11" s="8" t="s">
        <v>310</v>
      </c>
      <c r="E11" s="55">
        <v>42625</v>
      </c>
      <c r="F11" s="55">
        <v>42625</v>
      </c>
      <c r="G11" s="10" t="s">
        <v>129</v>
      </c>
      <c r="H11" s="74"/>
      <c r="I11" s="102"/>
      <c r="J11" s="27"/>
      <c r="K11" s="28">
        <v>56</v>
      </c>
      <c r="L11" s="113"/>
      <c r="M11" s="27"/>
      <c r="N11" s="27"/>
      <c r="O11" s="26">
        <f t="shared" si="0"/>
        <v>56</v>
      </c>
      <c r="P11" s="27">
        <f t="shared" si="1"/>
        <v>0</v>
      </c>
      <c r="Q11" s="27"/>
      <c r="R11" s="26">
        <f t="shared" si="2"/>
        <v>56</v>
      </c>
    </row>
    <row r="12" spans="1:19" s="12" customFormat="1" ht="12" x14ac:dyDescent="0.2">
      <c r="A12" s="10" t="s">
        <v>20</v>
      </c>
      <c r="B12" s="10" t="s">
        <v>21</v>
      </c>
      <c r="C12" s="8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27"/>
      <c r="K12" s="140">
        <f>27.3+20.16+22.92+24.5</f>
        <v>94.88</v>
      </c>
      <c r="L12" s="113"/>
      <c r="M12" s="27">
        <v>9.9499999999999993</v>
      </c>
      <c r="N12" s="27"/>
      <c r="O12" s="26">
        <f t="shared" si="0"/>
        <v>104.83</v>
      </c>
      <c r="P12" s="27">
        <f t="shared" si="1"/>
        <v>0</v>
      </c>
      <c r="Q12" s="106"/>
      <c r="R12" s="139">
        <f t="shared" si="2"/>
        <v>104.83</v>
      </c>
    </row>
    <row r="13" spans="1:19" s="12" customFormat="1" ht="12" x14ac:dyDescent="0.2">
      <c r="A13" s="7" t="s">
        <v>20</v>
      </c>
      <c r="B13" s="14" t="s">
        <v>21</v>
      </c>
      <c r="C13" s="11" t="s">
        <v>107</v>
      </c>
      <c r="D13" s="18" t="s">
        <v>397</v>
      </c>
      <c r="E13" s="58">
        <v>42634</v>
      </c>
      <c r="F13" s="58">
        <v>42634</v>
      </c>
      <c r="G13" s="57" t="s">
        <v>18</v>
      </c>
      <c r="H13" s="52"/>
      <c r="I13" s="74"/>
      <c r="J13" s="28"/>
      <c r="K13" s="28">
        <v>7.98</v>
      </c>
      <c r="L13" s="28"/>
      <c r="M13" s="28"/>
      <c r="N13" s="28"/>
      <c r="O13" s="26">
        <f t="shared" si="0"/>
        <v>7.98</v>
      </c>
      <c r="P13" s="27">
        <f t="shared" si="1"/>
        <v>0</v>
      </c>
      <c r="Q13" s="28"/>
      <c r="R13" s="26">
        <f t="shared" si="2"/>
        <v>7.98</v>
      </c>
    </row>
    <row r="14" spans="1:19" s="9" customFormat="1" ht="12" x14ac:dyDescent="0.2">
      <c r="A14" s="10" t="s">
        <v>20</v>
      </c>
      <c r="B14" s="8" t="s">
        <v>21</v>
      </c>
      <c r="C14" s="11" t="s">
        <v>55</v>
      </c>
      <c r="D14" s="20"/>
      <c r="E14" s="55">
        <v>42641</v>
      </c>
      <c r="F14" s="55">
        <v>42642</v>
      </c>
      <c r="G14" s="13" t="s">
        <v>99</v>
      </c>
      <c r="H14" s="27"/>
      <c r="I14" s="74"/>
      <c r="J14" s="27"/>
      <c r="K14" s="28">
        <f>29.4+25.5</f>
        <v>54.9</v>
      </c>
      <c r="L14" s="113">
        <v>114</v>
      </c>
      <c r="M14" s="27">
        <v>5</v>
      </c>
      <c r="N14" s="27"/>
      <c r="O14" s="26">
        <f t="shared" si="0"/>
        <v>173.9</v>
      </c>
      <c r="P14" s="27">
        <f t="shared" si="1"/>
        <v>0</v>
      </c>
      <c r="Q14" s="27"/>
      <c r="R14" s="26">
        <f t="shared" si="2"/>
        <v>173.9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240</v>
      </c>
      <c r="D15" s="8" t="s">
        <v>395</v>
      </c>
      <c r="E15" s="55">
        <v>42649</v>
      </c>
      <c r="F15" s="55">
        <v>42649</v>
      </c>
      <c r="G15" s="10" t="s">
        <v>18</v>
      </c>
      <c r="H15" s="74"/>
      <c r="I15" s="102"/>
      <c r="J15" s="27"/>
      <c r="K15" s="28">
        <f>30+10.88</f>
        <v>40.880000000000003</v>
      </c>
      <c r="L15" s="113"/>
      <c r="M15" s="27"/>
      <c r="N15" s="27"/>
      <c r="O15" s="26">
        <f t="shared" si="0"/>
        <v>40.880000000000003</v>
      </c>
      <c r="P15" s="27">
        <f t="shared" si="1"/>
        <v>0</v>
      </c>
      <c r="Q15" s="27"/>
      <c r="R15" s="26">
        <f t="shared" si="2"/>
        <v>40.880000000000003</v>
      </c>
      <c r="S15" s="87"/>
    </row>
    <row r="16" spans="1:19" s="9" customFormat="1" ht="12" x14ac:dyDescent="0.2">
      <c r="A16" s="7" t="s">
        <v>20</v>
      </c>
      <c r="B16" s="8" t="s">
        <v>21</v>
      </c>
      <c r="C16" s="8" t="s">
        <v>298</v>
      </c>
      <c r="D16" s="13" t="s">
        <v>398</v>
      </c>
      <c r="E16" s="55">
        <v>42654</v>
      </c>
      <c r="F16" s="141">
        <v>42654</v>
      </c>
      <c r="G16" s="13" t="s">
        <v>18</v>
      </c>
      <c r="H16" s="7"/>
      <c r="I16" s="7"/>
      <c r="J16" s="7"/>
      <c r="K16" s="46">
        <v>18</v>
      </c>
      <c r="L16" s="114"/>
      <c r="M16" s="46"/>
      <c r="N16" s="46"/>
      <c r="O16" s="26">
        <f t="shared" si="0"/>
        <v>18</v>
      </c>
      <c r="P16" s="27">
        <f t="shared" si="1"/>
        <v>0</v>
      </c>
      <c r="Q16" s="46"/>
      <c r="R16" s="26">
        <f t="shared" si="2"/>
        <v>18</v>
      </c>
      <c r="S16" s="87"/>
    </row>
    <row r="17" spans="1:19" s="9" customFormat="1" ht="12" x14ac:dyDescent="0.2">
      <c r="A17" s="7" t="s">
        <v>20</v>
      </c>
      <c r="B17" s="8" t="s">
        <v>21</v>
      </c>
      <c r="C17" s="11" t="s">
        <v>240</v>
      </c>
      <c r="D17" s="13" t="s">
        <v>399</v>
      </c>
      <c r="E17" s="55">
        <v>42656</v>
      </c>
      <c r="F17" s="55">
        <v>42656</v>
      </c>
      <c r="G17" s="13" t="s">
        <v>18</v>
      </c>
      <c r="H17" s="7"/>
      <c r="I17" s="7"/>
      <c r="J17" s="7"/>
      <c r="K17" s="46">
        <v>10.62</v>
      </c>
      <c r="L17" s="114"/>
      <c r="M17" s="46"/>
      <c r="N17" s="46"/>
      <c r="O17" s="26">
        <f t="shared" si="0"/>
        <v>10.62</v>
      </c>
      <c r="P17" s="27">
        <f t="shared" si="1"/>
        <v>0</v>
      </c>
      <c r="Q17" s="46"/>
      <c r="R17" s="26">
        <f t="shared" si="2"/>
        <v>10.62</v>
      </c>
      <c r="S17" s="12"/>
    </row>
    <row r="18" spans="1:19" s="9" customFormat="1" ht="12" x14ac:dyDescent="0.2">
      <c r="A18" s="10" t="s">
        <v>20</v>
      </c>
      <c r="B18" s="10" t="s">
        <v>21</v>
      </c>
      <c r="C18" s="11" t="s">
        <v>240</v>
      </c>
      <c r="D18" s="8" t="s">
        <v>394</v>
      </c>
      <c r="E18" s="55">
        <v>42661</v>
      </c>
      <c r="F18" s="55">
        <v>42661</v>
      </c>
      <c r="G18" s="10" t="s">
        <v>18</v>
      </c>
      <c r="H18" s="74"/>
      <c r="I18" s="102"/>
      <c r="J18" s="27"/>
      <c r="K18" s="28">
        <f>4+8</f>
        <v>12</v>
      </c>
      <c r="L18" s="113"/>
      <c r="M18" s="27"/>
      <c r="N18" s="27"/>
      <c r="O18" s="26">
        <f t="shared" si="0"/>
        <v>12</v>
      </c>
      <c r="P18" s="27">
        <f t="shared" si="1"/>
        <v>0</v>
      </c>
      <c r="Q18" s="27"/>
      <c r="R18" s="26">
        <f t="shared" si="2"/>
        <v>12</v>
      </c>
    </row>
    <row r="19" spans="1:19" s="9" customFormat="1" ht="12" x14ac:dyDescent="0.2">
      <c r="A19" s="7" t="s">
        <v>20</v>
      </c>
      <c r="B19" s="8" t="s">
        <v>21</v>
      </c>
      <c r="C19" s="8" t="s">
        <v>312</v>
      </c>
      <c r="D19" s="8" t="s">
        <v>392</v>
      </c>
      <c r="E19" s="55">
        <v>42670</v>
      </c>
      <c r="F19" s="55">
        <v>42670</v>
      </c>
      <c r="G19" s="13" t="s">
        <v>400</v>
      </c>
      <c r="H19" s="7"/>
      <c r="I19" s="7"/>
      <c r="J19" s="7"/>
      <c r="K19" s="46">
        <v>32.799999999999997</v>
      </c>
      <c r="L19" s="114"/>
      <c r="M19" s="46"/>
      <c r="N19" s="46"/>
      <c r="O19" s="26">
        <f t="shared" si="0"/>
        <v>32.799999999999997</v>
      </c>
      <c r="P19" s="27">
        <f t="shared" si="1"/>
        <v>0</v>
      </c>
      <c r="Q19" s="46"/>
      <c r="R19" s="26">
        <f t="shared" si="2"/>
        <v>32.799999999999997</v>
      </c>
    </row>
    <row r="20" spans="1:19" s="9" customFormat="1" ht="24" x14ac:dyDescent="0.2">
      <c r="A20" s="7" t="s">
        <v>20</v>
      </c>
      <c r="B20" s="8" t="s">
        <v>21</v>
      </c>
      <c r="C20" s="11" t="s">
        <v>406</v>
      </c>
      <c r="D20" s="8" t="s">
        <v>467</v>
      </c>
      <c r="E20" s="55">
        <v>42670</v>
      </c>
      <c r="F20" s="55">
        <v>42670</v>
      </c>
      <c r="G20" s="13" t="s">
        <v>468</v>
      </c>
      <c r="H20" s="7"/>
      <c r="I20" s="7"/>
      <c r="J20" s="7"/>
      <c r="K20" s="46">
        <f>24+16+25</f>
        <v>65</v>
      </c>
      <c r="L20" s="114"/>
      <c r="M20" s="46"/>
      <c r="N20" s="46"/>
      <c r="O20" s="26">
        <f t="shared" si="0"/>
        <v>65</v>
      </c>
      <c r="P20" s="27">
        <f t="shared" si="1"/>
        <v>0</v>
      </c>
      <c r="Q20" s="46"/>
      <c r="R20" s="26">
        <f t="shared" si="2"/>
        <v>65</v>
      </c>
    </row>
    <row r="21" spans="1:19" s="9" customFormat="1" ht="12" x14ac:dyDescent="0.2">
      <c r="A21" s="37" t="s">
        <v>20</v>
      </c>
      <c r="B21" s="18" t="s">
        <v>21</v>
      </c>
      <c r="C21" s="11" t="s">
        <v>188</v>
      </c>
      <c r="D21" s="20" t="s">
        <v>396</v>
      </c>
      <c r="E21" s="141">
        <v>42675</v>
      </c>
      <c r="F21" s="141">
        <v>42677</v>
      </c>
      <c r="G21" s="13" t="s">
        <v>171</v>
      </c>
      <c r="H21" s="27"/>
      <c r="I21" s="74"/>
      <c r="J21" s="27">
        <v>1090.83</v>
      </c>
      <c r="K21" s="28">
        <f>60.18+61+35.3+11.24+11.7</f>
        <v>179.42000000000002</v>
      </c>
      <c r="L21" s="113">
        <v>458.26</v>
      </c>
      <c r="M21" s="27"/>
      <c r="N21" s="27">
        <v>40.39</v>
      </c>
      <c r="O21" s="26">
        <f t="shared" si="0"/>
        <v>1768.9</v>
      </c>
      <c r="P21" s="27">
        <f t="shared" si="1"/>
        <v>0</v>
      </c>
      <c r="Q21" s="27"/>
      <c r="R21" s="26">
        <f t="shared" si="2"/>
        <v>1768.9</v>
      </c>
    </row>
    <row r="22" spans="1:19" s="9" customFormat="1" ht="12" x14ac:dyDescent="0.2">
      <c r="A22" s="7" t="s">
        <v>20</v>
      </c>
      <c r="B22" s="8" t="s">
        <v>21</v>
      </c>
      <c r="C22" s="11" t="s">
        <v>523</v>
      </c>
      <c r="D22" s="8"/>
      <c r="E22" s="55">
        <v>42678</v>
      </c>
      <c r="F22" s="55">
        <v>42678</v>
      </c>
      <c r="G22" s="13" t="s">
        <v>18</v>
      </c>
      <c r="H22" s="7"/>
      <c r="I22" s="7"/>
      <c r="J22" s="7"/>
      <c r="K22" s="46">
        <v>11.49</v>
      </c>
      <c r="L22" s="114"/>
      <c r="M22" s="46"/>
      <c r="N22" s="46"/>
      <c r="O22" s="26">
        <f t="shared" si="0"/>
        <v>11.49</v>
      </c>
      <c r="P22" s="27">
        <f t="shared" si="1"/>
        <v>0</v>
      </c>
      <c r="Q22" s="46"/>
      <c r="R22" s="26">
        <f t="shared" si="2"/>
        <v>11.49</v>
      </c>
    </row>
    <row r="23" spans="1:19" s="9" customFormat="1" ht="12" x14ac:dyDescent="0.2">
      <c r="A23" s="10" t="s">
        <v>211</v>
      </c>
      <c r="B23" s="13" t="s">
        <v>411</v>
      </c>
      <c r="C23" s="8" t="s">
        <v>298</v>
      </c>
      <c r="D23" s="8" t="s">
        <v>398</v>
      </c>
      <c r="E23" s="55">
        <v>42654</v>
      </c>
      <c r="F23" s="141">
        <v>42654</v>
      </c>
      <c r="G23" s="13" t="s">
        <v>18</v>
      </c>
      <c r="H23" s="27"/>
      <c r="I23" s="74"/>
      <c r="J23" s="28"/>
      <c r="K23" s="28">
        <v>8.5</v>
      </c>
      <c r="L23" s="113"/>
      <c r="M23" s="28"/>
      <c r="N23" s="28"/>
      <c r="O23" s="26">
        <f t="shared" si="0"/>
        <v>8.5</v>
      </c>
      <c r="P23" s="27">
        <f t="shared" si="1"/>
        <v>0</v>
      </c>
      <c r="Q23" s="28"/>
      <c r="R23" s="26">
        <f t="shared" si="2"/>
        <v>8.5</v>
      </c>
      <c r="S23" s="87"/>
    </row>
    <row r="24" spans="1:19" s="9" customFormat="1" ht="12" x14ac:dyDescent="0.2">
      <c r="A24" s="7" t="s">
        <v>389</v>
      </c>
      <c r="B24" s="8" t="s">
        <v>34</v>
      </c>
      <c r="C24" s="11" t="s">
        <v>55</v>
      </c>
      <c r="D24" s="20"/>
      <c r="E24" s="55">
        <v>42640</v>
      </c>
      <c r="F24" s="55">
        <v>42642</v>
      </c>
      <c r="G24" s="13" t="s">
        <v>99</v>
      </c>
      <c r="H24" s="27"/>
      <c r="I24" s="74"/>
      <c r="J24" s="27"/>
      <c r="K24" s="28">
        <v>17.5</v>
      </c>
      <c r="L24" s="113"/>
      <c r="M24" s="27"/>
      <c r="N24" s="27"/>
      <c r="O24" s="26">
        <f t="shared" si="0"/>
        <v>17.5</v>
      </c>
      <c r="P24" s="27">
        <f t="shared" si="1"/>
        <v>0</v>
      </c>
      <c r="Q24" s="27"/>
      <c r="R24" s="26">
        <f t="shared" si="2"/>
        <v>17.5</v>
      </c>
    </row>
    <row r="25" spans="1:19" s="9" customFormat="1" ht="12" x14ac:dyDescent="0.2">
      <c r="A25" s="7" t="s">
        <v>389</v>
      </c>
      <c r="B25" s="8" t="s">
        <v>34</v>
      </c>
      <c r="C25" s="8" t="s">
        <v>64</v>
      </c>
      <c r="D25" s="8" t="s">
        <v>310</v>
      </c>
      <c r="E25" s="55">
        <v>42683</v>
      </c>
      <c r="F25" s="55">
        <v>42683</v>
      </c>
      <c r="G25" s="13" t="s">
        <v>93</v>
      </c>
      <c r="H25" s="27"/>
      <c r="I25" s="74"/>
      <c r="J25" s="28">
        <v>335.25</v>
      </c>
      <c r="K25" s="28"/>
      <c r="L25" s="113"/>
      <c r="M25" s="28"/>
      <c r="N25" s="28"/>
      <c r="O25" s="26">
        <f t="shared" si="0"/>
        <v>335.25</v>
      </c>
      <c r="P25" s="27">
        <f t="shared" si="1"/>
        <v>0</v>
      </c>
      <c r="Q25" s="28"/>
      <c r="R25" s="26">
        <f t="shared" si="2"/>
        <v>335.25</v>
      </c>
    </row>
    <row r="26" spans="1:19" s="9" customFormat="1" ht="24" x14ac:dyDescent="0.2">
      <c r="A26" s="10" t="s">
        <v>31</v>
      </c>
      <c r="B26" s="13" t="s">
        <v>414</v>
      </c>
      <c r="C26" s="11" t="s">
        <v>189</v>
      </c>
      <c r="D26" s="8" t="s">
        <v>416</v>
      </c>
      <c r="E26" s="55">
        <v>42407</v>
      </c>
      <c r="F26" s="55">
        <v>42409</v>
      </c>
      <c r="G26" s="13" t="s">
        <v>415</v>
      </c>
      <c r="H26" s="27"/>
      <c r="I26" s="74"/>
      <c r="J26" s="140">
        <f>124.98+255.42</f>
        <v>380.4</v>
      </c>
      <c r="K26" s="10"/>
      <c r="L26" s="113"/>
      <c r="M26" s="28"/>
      <c r="N26" s="28"/>
      <c r="O26" s="26">
        <f t="shared" si="0"/>
        <v>380.4</v>
      </c>
      <c r="P26" s="27">
        <f t="shared" si="1"/>
        <v>0</v>
      </c>
      <c r="Q26" s="28"/>
      <c r="R26" s="26">
        <f t="shared" si="2"/>
        <v>380.4</v>
      </c>
      <c r="S26" s="87"/>
    </row>
    <row r="27" spans="1:19" s="9" customFormat="1" ht="12" x14ac:dyDescent="0.2">
      <c r="A27" s="7" t="s">
        <v>374</v>
      </c>
      <c r="B27" s="14" t="s">
        <v>403</v>
      </c>
      <c r="C27" s="11" t="s">
        <v>55</v>
      </c>
      <c r="D27" s="13"/>
      <c r="E27" s="55">
        <v>42640</v>
      </c>
      <c r="F27" s="55">
        <v>42643</v>
      </c>
      <c r="G27" s="13" t="s">
        <v>99</v>
      </c>
      <c r="H27" s="52"/>
      <c r="I27" s="74"/>
      <c r="J27" s="46"/>
      <c r="K27" s="28">
        <f>212.7+61.95</f>
        <v>274.64999999999998</v>
      </c>
      <c r="L27" s="113"/>
      <c r="M27" s="28">
        <f>9.95+17.7</f>
        <v>27.65</v>
      </c>
      <c r="N27" s="28"/>
      <c r="O27" s="26">
        <f t="shared" si="0"/>
        <v>302.29999999999995</v>
      </c>
      <c r="P27" s="27">
        <f t="shared" si="1"/>
        <v>0</v>
      </c>
      <c r="Q27" s="28"/>
      <c r="R27" s="26">
        <f t="shared" si="2"/>
        <v>302.29999999999995</v>
      </c>
      <c r="S27" s="87"/>
    </row>
    <row r="28" spans="1:19" s="9" customFormat="1" ht="12" x14ac:dyDescent="0.2">
      <c r="A28" s="10" t="s">
        <v>126</v>
      </c>
      <c r="B28" s="10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27">
        <f>543.81+466.18</f>
        <v>1009.99</v>
      </c>
      <c r="K28" s="28">
        <f>135+150.5</f>
        <v>285.5</v>
      </c>
      <c r="L28" s="113">
        <v>173.5</v>
      </c>
      <c r="M28" s="27"/>
      <c r="N28" s="27">
        <v>15</v>
      </c>
      <c r="O28" s="26">
        <f t="shared" si="0"/>
        <v>1483.99</v>
      </c>
      <c r="P28" s="27">
        <f t="shared" si="1"/>
        <v>0</v>
      </c>
      <c r="Q28" s="27"/>
      <c r="R28" s="26">
        <f t="shared" si="2"/>
        <v>1483.99</v>
      </c>
      <c r="S28" s="87"/>
    </row>
    <row r="29" spans="1:19" s="9" customFormat="1" ht="12" x14ac:dyDescent="0.2">
      <c r="A29" s="10" t="s">
        <v>126</v>
      </c>
      <c r="B29" s="8" t="s">
        <v>25</v>
      </c>
      <c r="C29" s="11" t="s">
        <v>55</v>
      </c>
      <c r="D29" s="8"/>
      <c r="E29" s="55">
        <v>42703</v>
      </c>
      <c r="F29" s="55">
        <v>42705</v>
      </c>
      <c r="G29" s="13" t="s">
        <v>18</v>
      </c>
      <c r="H29" s="74"/>
      <c r="I29" s="102"/>
      <c r="J29" s="27"/>
      <c r="K29" s="28"/>
      <c r="L29" s="113">
        <v>347</v>
      </c>
      <c r="M29" s="27"/>
      <c r="N29" s="27"/>
      <c r="O29" s="26">
        <f t="shared" si="0"/>
        <v>347</v>
      </c>
      <c r="P29" s="27">
        <f t="shared" si="1"/>
        <v>0</v>
      </c>
      <c r="Q29" s="27"/>
      <c r="R29" s="26">
        <f t="shared" si="2"/>
        <v>347</v>
      </c>
      <c r="S29" s="87"/>
    </row>
    <row r="30" spans="1:19" s="9" customFormat="1" ht="12" x14ac:dyDescent="0.2">
      <c r="A30" s="37" t="s">
        <v>50</v>
      </c>
      <c r="B30" s="18" t="s">
        <v>25</v>
      </c>
      <c r="C30" s="11" t="s">
        <v>523</v>
      </c>
      <c r="D30" s="20"/>
      <c r="E30" s="55">
        <v>42677</v>
      </c>
      <c r="F30" s="55">
        <v>42678</v>
      </c>
      <c r="G30" s="13" t="s">
        <v>18</v>
      </c>
      <c r="H30" s="27"/>
      <c r="I30" s="74"/>
      <c r="J30" s="27"/>
      <c r="K30" s="28">
        <v>30</v>
      </c>
      <c r="L30" s="113">
        <v>173.5</v>
      </c>
      <c r="M30" s="27"/>
      <c r="N30" s="27"/>
      <c r="O30" s="26">
        <f t="shared" si="0"/>
        <v>203.5</v>
      </c>
      <c r="P30" s="27">
        <f t="shared" si="1"/>
        <v>0</v>
      </c>
      <c r="Q30" s="27"/>
      <c r="R30" s="26">
        <f t="shared" si="2"/>
        <v>203.5</v>
      </c>
      <c r="S30" s="87"/>
    </row>
    <row r="31" spans="1:19" s="9" customFormat="1" ht="12" x14ac:dyDescent="0.2">
      <c r="A31" s="10" t="s">
        <v>50</v>
      </c>
      <c r="B31" s="18" t="s">
        <v>25</v>
      </c>
      <c r="C31" s="11" t="s">
        <v>55</v>
      </c>
      <c r="D31" s="20"/>
      <c r="E31" s="55">
        <v>42704</v>
      </c>
      <c r="F31" s="55">
        <v>42705</v>
      </c>
      <c r="G31" s="13" t="s">
        <v>18</v>
      </c>
      <c r="H31" s="27"/>
      <c r="I31" s="74"/>
      <c r="J31" s="27"/>
      <c r="K31" s="28"/>
      <c r="L31" s="113">
        <v>213.05</v>
      </c>
      <c r="M31" s="27"/>
      <c r="N31" s="27"/>
      <c r="O31" s="26">
        <f t="shared" si="0"/>
        <v>213.05</v>
      </c>
      <c r="P31" s="27">
        <f t="shared" si="1"/>
        <v>0</v>
      </c>
      <c r="Q31" s="27"/>
      <c r="R31" s="26">
        <f t="shared" si="2"/>
        <v>213.05</v>
      </c>
      <c r="S31" s="87"/>
    </row>
    <row r="32" spans="1:19" s="9" customFormat="1" ht="12" x14ac:dyDescent="0.2">
      <c r="A32" s="10" t="s">
        <v>372</v>
      </c>
      <c r="B32" s="37" t="s">
        <v>390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27"/>
      <c r="K32" s="28">
        <v>67</v>
      </c>
      <c r="L32" s="113"/>
      <c r="M32" s="27"/>
      <c r="N32" s="27"/>
      <c r="O32" s="26">
        <f t="shared" si="0"/>
        <v>67</v>
      </c>
      <c r="P32" s="27">
        <f t="shared" si="1"/>
        <v>0</v>
      </c>
      <c r="Q32" s="27"/>
      <c r="R32" s="26">
        <f t="shared" si="2"/>
        <v>67</v>
      </c>
      <c r="S32" s="12"/>
    </row>
    <row r="33" spans="1:19" s="9" customFormat="1" ht="12" x14ac:dyDescent="0.2">
      <c r="A33" s="10" t="s">
        <v>205</v>
      </c>
      <c r="B33" s="13" t="s">
        <v>37</v>
      </c>
      <c r="C33" s="8" t="s">
        <v>523</v>
      </c>
      <c r="D33" s="8"/>
      <c r="E33" s="55">
        <v>42678</v>
      </c>
      <c r="F33" s="55">
        <v>42679</v>
      </c>
      <c r="G33" s="13" t="s">
        <v>18</v>
      </c>
      <c r="H33" s="27"/>
      <c r="I33" s="74"/>
      <c r="J33" s="28">
        <v>376.24</v>
      </c>
      <c r="K33" s="28">
        <v>82.45</v>
      </c>
      <c r="L33" s="113">
        <v>173.5</v>
      </c>
      <c r="M33" s="28">
        <v>8.99</v>
      </c>
      <c r="N33" s="28"/>
      <c r="O33" s="26">
        <f t="shared" si="0"/>
        <v>641.18000000000006</v>
      </c>
      <c r="P33" s="110">
        <f t="shared" si="1"/>
        <v>0</v>
      </c>
      <c r="Q33" s="140"/>
      <c r="R33" s="139">
        <f t="shared" si="2"/>
        <v>641.18000000000006</v>
      </c>
      <c r="S33" s="87"/>
    </row>
    <row r="34" spans="1:19" s="9" customFormat="1" ht="12" x14ac:dyDescent="0.2">
      <c r="A34" s="7" t="s">
        <v>401</v>
      </c>
      <c r="B34" s="8" t="s">
        <v>402</v>
      </c>
      <c r="C34" s="8" t="s">
        <v>64</v>
      </c>
      <c r="D34" s="8" t="s">
        <v>310</v>
      </c>
      <c r="E34" s="55">
        <v>42622</v>
      </c>
      <c r="F34" s="55">
        <v>42623</v>
      </c>
      <c r="G34" s="10" t="s">
        <v>118</v>
      </c>
      <c r="H34" s="27"/>
      <c r="I34" s="74"/>
      <c r="J34" s="27"/>
      <c r="K34" s="28"/>
      <c r="L34" s="113">
        <v>124</v>
      </c>
      <c r="M34" s="27"/>
      <c r="N34" s="27"/>
      <c r="O34" s="26">
        <f t="shared" si="0"/>
        <v>124</v>
      </c>
      <c r="P34" s="27">
        <f t="shared" si="1"/>
        <v>0</v>
      </c>
      <c r="Q34" s="27"/>
      <c r="R34" s="26">
        <f t="shared" si="2"/>
        <v>124</v>
      </c>
      <c r="S34" s="87"/>
    </row>
    <row r="35" spans="1:19" s="9" customFormat="1" ht="12" x14ac:dyDescent="0.2">
      <c r="A35" s="7" t="s">
        <v>133</v>
      </c>
      <c r="B35" s="14" t="s">
        <v>404</v>
      </c>
      <c r="C35" s="11" t="s">
        <v>55</v>
      </c>
      <c r="D35" s="13"/>
      <c r="E35" s="55">
        <v>42641</v>
      </c>
      <c r="F35" s="55">
        <v>42642</v>
      </c>
      <c r="G35" s="13" t="s">
        <v>99</v>
      </c>
      <c r="H35" s="52"/>
      <c r="I35" s="74"/>
      <c r="J35" s="46"/>
      <c r="K35" s="28">
        <v>109.2</v>
      </c>
      <c r="L35" s="113"/>
      <c r="M35" s="28"/>
      <c r="N35" s="28"/>
      <c r="O35" s="26">
        <f t="shared" si="0"/>
        <v>109.2</v>
      </c>
      <c r="P35" s="27">
        <f t="shared" si="1"/>
        <v>0</v>
      </c>
      <c r="Q35" s="28"/>
      <c r="R35" s="26">
        <f t="shared" si="2"/>
        <v>109.2</v>
      </c>
      <c r="S35" s="118"/>
    </row>
    <row r="36" spans="1:19" s="9" customFormat="1" ht="12" x14ac:dyDescent="0.2">
      <c r="A36" s="7" t="s">
        <v>133</v>
      </c>
      <c r="B36" s="14" t="s">
        <v>404</v>
      </c>
      <c r="C36" s="11" t="s">
        <v>188</v>
      </c>
      <c r="D36" s="20" t="s">
        <v>396</v>
      </c>
      <c r="E36" s="55">
        <v>42675</v>
      </c>
      <c r="F36" s="55">
        <v>42677</v>
      </c>
      <c r="G36" s="13" t="s">
        <v>171</v>
      </c>
      <c r="H36" s="27"/>
      <c r="I36" s="74"/>
      <c r="J36" s="28">
        <f>957.83+78+75</f>
        <v>1110.83</v>
      </c>
      <c r="K36" s="140">
        <v>173.35</v>
      </c>
      <c r="L36" s="142">
        <v>458.9</v>
      </c>
      <c r="M36" s="28">
        <v>9.9499999999999993</v>
      </c>
      <c r="N36" s="28"/>
      <c r="O36" s="26">
        <f t="shared" si="0"/>
        <v>1753.03</v>
      </c>
      <c r="P36" s="27">
        <f t="shared" si="1"/>
        <v>0</v>
      </c>
      <c r="Q36" s="28"/>
      <c r="R36" s="26">
        <f t="shared" si="2"/>
        <v>1753.03</v>
      </c>
      <c r="S36" s="118"/>
    </row>
    <row r="37" spans="1:19" s="9" customFormat="1" ht="12" x14ac:dyDescent="0.2">
      <c r="A37" s="7" t="s">
        <v>133</v>
      </c>
      <c r="B37" s="14" t="s">
        <v>404</v>
      </c>
      <c r="C37" s="11" t="s">
        <v>240</v>
      </c>
      <c r="D37" s="8" t="s">
        <v>412</v>
      </c>
      <c r="E37" s="55">
        <v>42698</v>
      </c>
      <c r="F37" s="55">
        <v>42698</v>
      </c>
      <c r="G37" s="13" t="s">
        <v>18</v>
      </c>
      <c r="H37" s="27"/>
      <c r="I37" s="74"/>
      <c r="J37" s="28"/>
      <c r="K37" s="28">
        <v>15</v>
      </c>
      <c r="L37" s="113"/>
      <c r="M37" s="28"/>
      <c r="N37" s="28"/>
      <c r="O37" s="26">
        <f t="shared" si="0"/>
        <v>15</v>
      </c>
      <c r="P37" s="27">
        <f t="shared" si="1"/>
        <v>0</v>
      </c>
      <c r="Q37" s="28"/>
      <c r="R37" s="26">
        <f t="shared" si="2"/>
        <v>15</v>
      </c>
      <c r="S37" s="118"/>
    </row>
    <row r="38" spans="1:19" s="9" customFormat="1" ht="12" x14ac:dyDescent="0.2">
      <c r="A38" s="10" t="s">
        <v>209</v>
      </c>
      <c r="B38" s="18" t="s">
        <v>25</v>
      </c>
      <c r="C38" s="11" t="s">
        <v>523</v>
      </c>
      <c r="D38" s="18"/>
      <c r="E38" s="58">
        <v>42678</v>
      </c>
      <c r="F38" s="58">
        <v>42679</v>
      </c>
      <c r="G38" s="57" t="s">
        <v>18</v>
      </c>
      <c r="H38" s="37"/>
      <c r="I38" s="37"/>
      <c r="J38" s="46">
        <f>406.25+20</f>
        <v>426.25</v>
      </c>
      <c r="K38" s="143">
        <v>173.59</v>
      </c>
      <c r="L38" s="114">
        <v>173.5</v>
      </c>
      <c r="M38" s="46"/>
      <c r="N38" s="48"/>
      <c r="O38" s="26">
        <f t="shared" si="0"/>
        <v>773.34</v>
      </c>
      <c r="P38" s="27">
        <f t="shared" si="1"/>
        <v>0</v>
      </c>
      <c r="Q38" s="48"/>
      <c r="R38" s="26">
        <f t="shared" si="2"/>
        <v>773.34</v>
      </c>
      <c r="S38" s="118"/>
    </row>
    <row r="39" spans="1:19" s="9" customFormat="1" ht="12" x14ac:dyDescent="0.2">
      <c r="A39" s="10" t="s">
        <v>209</v>
      </c>
      <c r="B39" s="18" t="s">
        <v>25</v>
      </c>
      <c r="C39" s="11" t="s">
        <v>55</v>
      </c>
      <c r="D39" s="20"/>
      <c r="E39" s="55">
        <v>42704</v>
      </c>
      <c r="F39" s="55">
        <v>42705</v>
      </c>
      <c r="G39" s="13" t="s">
        <v>18</v>
      </c>
      <c r="H39" s="27"/>
      <c r="I39" s="74"/>
      <c r="J39" s="27">
        <f>444.25+75</f>
        <v>519.25</v>
      </c>
      <c r="K39" s="28">
        <f>38.56+82+31+6</f>
        <v>157.56</v>
      </c>
      <c r="L39" s="113">
        <v>173.5</v>
      </c>
      <c r="M39" s="27"/>
      <c r="N39" s="27"/>
      <c r="O39" s="26">
        <f t="shared" si="0"/>
        <v>850.31</v>
      </c>
      <c r="P39" s="27">
        <f t="shared" si="1"/>
        <v>0</v>
      </c>
      <c r="Q39" s="27"/>
      <c r="R39" s="26">
        <f t="shared" si="2"/>
        <v>850.31</v>
      </c>
      <c r="S39" s="118"/>
    </row>
    <row r="40" spans="1:19" s="9" customFormat="1" ht="12" x14ac:dyDescent="0.2">
      <c r="A40" s="10" t="s">
        <v>38</v>
      </c>
      <c r="B40" s="13" t="s">
        <v>167</v>
      </c>
      <c r="C40" s="14" t="s">
        <v>346</v>
      </c>
      <c r="D40" s="14" t="s">
        <v>348</v>
      </c>
      <c r="E40" s="141">
        <v>42529</v>
      </c>
      <c r="F40" s="141">
        <v>42529</v>
      </c>
      <c r="G40" s="11" t="s">
        <v>327</v>
      </c>
      <c r="H40" s="27"/>
      <c r="I40" s="74"/>
      <c r="J40" s="27"/>
      <c r="K40" s="28">
        <v>45.34</v>
      </c>
      <c r="L40" s="113"/>
      <c r="M40" s="27"/>
      <c r="N40" s="27"/>
      <c r="O40" s="26">
        <f t="shared" si="0"/>
        <v>45.34</v>
      </c>
      <c r="P40" s="27">
        <f t="shared" si="1"/>
        <v>0</v>
      </c>
      <c r="Q40" s="27"/>
      <c r="R40" s="26">
        <f t="shared" si="2"/>
        <v>45.34</v>
      </c>
      <c r="S40" s="87"/>
    </row>
    <row r="41" spans="1:19" s="9" customFormat="1" ht="12" x14ac:dyDescent="0.2">
      <c r="A41" s="10" t="s">
        <v>38</v>
      </c>
      <c r="B41" s="13" t="s">
        <v>167</v>
      </c>
      <c r="C41" s="8" t="s">
        <v>312</v>
      </c>
      <c r="D41" s="8" t="s">
        <v>413</v>
      </c>
      <c r="E41" s="55">
        <v>42611</v>
      </c>
      <c r="F41" s="55">
        <v>42611</v>
      </c>
      <c r="G41" s="13" t="s">
        <v>18</v>
      </c>
      <c r="H41" s="27"/>
      <c r="I41" s="74"/>
      <c r="J41" s="28"/>
      <c r="K41" s="28">
        <v>25.2</v>
      </c>
      <c r="L41" s="113"/>
      <c r="M41" s="28"/>
      <c r="N41" s="28"/>
      <c r="O41" s="26">
        <f t="shared" si="0"/>
        <v>25.2</v>
      </c>
      <c r="P41" s="27">
        <f t="shared" si="1"/>
        <v>0</v>
      </c>
      <c r="Q41" s="28"/>
      <c r="R41" s="26">
        <f t="shared" si="2"/>
        <v>25.2</v>
      </c>
      <c r="S41" s="87"/>
    </row>
    <row r="42" spans="1:19" s="9" customFormat="1" ht="24" x14ac:dyDescent="0.2">
      <c r="A42" s="10" t="s">
        <v>38</v>
      </c>
      <c r="B42" s="13" t="s">
        <v>167</v>
      </c>
      <c r="C42" s="8" t="s">
        <v>409</v>
      </c>
      <c r="D42" s="8" t="s">
        <v>310</v>
      </c>
      <c r="E42" s="58">
        <v>42621</v>
      </c>
      <c r="F42" s="58">
        <v>42622</v>
      </c>
      <c r="G42" s="57" t="s">
        <v>408</v>
      </c>
      <c r="H42" s="37"/>
      <c r="I42" s="37"/>
      <c r="J42" s="46"/>
      <c r="K42" s="51">
        <f>48+94.8+2</f>
        <v>144.80000000000001</v>
      </c>
      <c r="L42" s="144">
        <v>167.07</v>
      </c>
      <c r="M42" s="46"/>
      <c r="N42" s="48"/>
      <c r="O42" s="26">
        <f t="shared" si="0"/>
        <v>311.87</v>
      </c>
      <c r="P42" s="27">
        <f t="shared" si="1"/>
        <v>0</v>
      </c>
      <c r="Q42" s="48"/>
      <c r="R42" s="26">
        <f t="shared" si="2"/>
        <v>311.87</v>
      </c>
      <c r="S42" s="118"/>
    </row>
    <row r="43" spans="1:19" s="9" customFormat="1" ht="12" x14ac:dyDescent="0.2">
      <c r="A43" s="10" t="s">
        <v>38</v>
      </c>
      <c r="B43" s="13" t="s">
        <v>167</v>
      </c>
      <c r="C43" s="8" t="s">
        <v>409</v>
      </c>
      <c r="D43" s="14" t="s">
        <v>469</v>
      </c>
      <c r="E43" s="141">
        <v>42625</v>
      </c>
      <c r="F43" s="141">
        <v>42625</v>
      </c>
      <c r="G43" s="57" t="s">
        <v>46</v>
      </c>
      <c r="H43" s="37"/>
      <c r="I43" s="37"/>
      <c r="J43" s="46"/>
      <c r="K43" s="51">
        <v>3.55</v>
      </c>
      <c r="L43" s="114"/>
      <c r="M43" s="46"/>
      <c r="N43" s="48"/>
      <c r="O43" s="26">
        <f t="shared" si="0"/>
        <v>3.55</v>
      </c>
      <c r="P43" s="27">
        <f t="shared" si="1"/>
        <v>0</v>
      </c>
      <c r="Q43" s="48"/>
      <c r="R43" s="26">
        <f t="shared" si="2"/>
        <v>3.55</v>
      </c>
      <c r="S43" s="87"/>
    </row>
    <row r="44" spans="1:19" s="92" customFormat="1" ht="12" x14ac:dyDescent="0.2">
      <c r="A44" s="10" t="s">
        <v>38</v>
      </c>
      <c r="B44" s="13" t="s">
        <v>167</v>
      </c>
      <c r="C44" s="11" t="s">
        <v>240</v>
      </c>
      <c r="D44" s="14" t="s">
        <v>470</v>
      </c>
      <c r="E44" s="141">
        <v>42640</v>
      </c>
      <c r="F44" s="141">
        <v>42640</v>
      </c>
      <c r="G44" s="57" t="s">
        <v>18</v>
      </c>
      <c r="H44" s="37"/>
      <c r="I44" s="37"/>
      <c r="J44" s="46"/>
      <c r="K44" s="51">
        <v>31.5</v>
      </c>
      <c r="L44" s="114"/>
      <c r="M44" s="46"/>
      <c r="N44" s="48"/>
      <c r="O44" s="26">
        <f t="shared" si="0"/>
        <v>31.5</v>
      </c>
      <c r="P44" s="27">
        <f t="shared" si="1"/>
        <v>0</v>
      </c>
      <c r="Q44" s="48"/>
      <c r="R44" s="26">
        <f t="shared" si="2"/>
        <v>31.5</v>
      </c>
      <c r="S44" s="87"/>
    </row>
    <row r="45" spans="1:19" s="92" customFormat="1" ht="12" x14ac:dyDescent="0.2">
      <c r="A45" s="10" t="s">
        <v>38</v>
      </c>
      <c r="B45" s="13" t="s">
        <v>167</v>
      </c>
      <c r="C45" s="11" t="s">
        <v>55</v>
      </c>
      <c r="D45" s="14" t="s">
        <v>471</v>
      </c>
      <c r="E45" s="141">
        <v>42641</v>
      </c>
      <c r="F45" s="141">
        <v>42642</v>
      </c>
      <c r="G45" s="57" t="s">
        <v>388</v>
      </c>
      <c r="H45" s="37"/>
      <c r="I45" s="37"/>
      <c r="J45" s="46"/>
      <c r="K45" s="51">
        <f>70+11</f>
        <v>81</v>
      </c>
      <c r="L45" s="114"/>
      <c r="M45" s="46"/>
      <c r="N45" s="48"/>
      <c r="O45" s="26">
        <f t="shared" si="0"/>
        <v>81</v>
      </c>
      <c r="P45" s="27">
        <f t="shared" si="1"/>
        <v>0</v>
      </c>
      <c r="Q45" s="48"/>
      <c r="R45" s="26">
        <f t="shared" ref="R45:R56" si="3">SUM(O45:Q45)</f>
        <v>81</v>
      </c>
      <c r="S45" s="87"/>
    </row>
    <row r="46" spans="1:19" s="9" customFormat="1" ht="12" x14ac:dyDescent="0.2">
      <c r="A46" s="145" t="s">
        <v>38</v>
      </c>
      <c r="B46" s="13" t="s">
        <v>167</v>
      </c>
      <c r="C46" s="11" t="s">
        <v>240</v>
      </c>
      <c r="D46" s="13" t="s">
        <v>472</v>
      </c>
      <c r="E46" s="55">
        <v>42648</v>
      </c>
      <c r="F46" s="55">
        <v>42648</v>
      </c>
      <c r="G46" s="13" t="s">
        <v>18</v>
      </c>
      <c r="H46" s="27"/>
      <c r="I46" s="74"/>
      <c r="J46" s="27"/>
      <c r="K46" s="28">
        <v>3</v>
      </c>
      <c r="L46" s="113"/>
      <c r="M46" s="27"/>
      <c r="N46" s="27"/>
      <c r="O46" s="26">
        <f t="shared" si="0"/>
        <v>3</v>
      </c>
      <c r="P46" s="27">
        <f t="shared" si="1"/>
        <v>0</v>
      </c>
      <c r="Q46" s="27"/>
      <c r="R46" s="26">
        <f t="shared" si="3"/>
        <v>3</v>
      </c>
      <c r="S46" s="12"/>
    </row>
    <row r="47" spans="1:19" s="92" customFormat="1" ht="12" x14ac:dyDescent="0.2">
      <c r="A47" s="10" t="s">
        <v>38</v>
      </c>
      <c r="B47" s="13" t="s">
        <v>167</v>
      </c>
      <c r="C47" s="8" t="s">
        <v>298</v>
      </c>
      <c r="D47" s="13" t="s">
        <v>398</v>
      </c>
      <c r="E47" s="55">
        <v>42654</v>
      </c>
      <c r="F47" s="141">
        <v>42654</v>
      </c>
      <c r="G47" s="13" t="s">
        <v>18</v>
      </c>
      <c r="H47" s="27"/>
      <c r="I47" s="74"/>
      <c r="J47" s="27"/>
      <c r="K47" s="28">
        <v>20</v>
      </c>
      <c r="L47" s="113"/>
      <c r="M47" s="27"/>
      <c r="N47" s="27"/>
      <c r="O47" s="26">
        <f t="shared" si="0"/>
        <v>20</v>
      </c>
      <c r="P47" s="27">
        <f t="shared" si="1"/>
        <v>0</v>
      </c>
      <c r="Q47" s="27"/>
      <c r="R47" s="26">
        <f t="shared" si="3"/>
        <v>20</v>
      </c>
      <c r="S47" s="12"/>
    </row>
    <row r="48" spans="1:19" s="134" customFormat="1" ht="12" x14ac:dyDescent="0.2">
      <c r="A48" s="145" t="s">
        <v>38</v>
      </c>
      <c r="B48" s="13" t="s">
        <v>167</v>
      </c>
      <c r="C48" s="8" t="s">
        <v>298</v>
      </c>
      <c r="D48" s="13" t="s">
        <v>473</v>
      </c>
      <c r="E48" s="55">
        <v>42654</v>
      </c>
      <c r="F48" s="55">
        <v>42654</v>
      </c>
      <c r="G48" s="13" t="s">
        <v>18</v>
      </c>
      <c r="H48" s="27"/>
      <c r="I48" s="74"/>
      <c r="J48" s="27"/>
      <c r="K48" s="28">
        <v>18</v>
      </c>
      <c r="L48" s="113"/>
      <c r="M48" s="27"/>
      <c r="N48" s="27"/>
      <c r="O48" s="26">
        <f t="shared" si="0"/>
        <v>18</v>
      </c>
      <c r="P48" s="27">
        <f t="shared" si="1"/>
        <v>0</v>
      </c>
      <c r="Q48" s="27"/>
      <c r="R48" s="26">
        <f t="shared" si="3"/>
        <v>18</v>
      </c>
    </row>
    <row r="49" spans="1:19" s="12" customFormat="1" ht="12" x14ac:dyDescent="0.2">
      <c r="A49" s="145" t="s">
        <v>38</v>
      </c>
      <c r="B49" s="13" t="s">
        <v>167</v>
      </c>
      <c r="C49" s="11" t="s">
        <v>188</v>
      </c>
      <c r="D49" s="13" t="s">
        <v>474</v>
      </c>
      <c r="E49" s="55">
        <v>42663</v>
      </c>
      <c r="F49" s="55">
        <v>42663</v>
      </c>
      <c r="G49" s="13" t="s">
        <v>18</v>
      </c>
      <c r="H49" s="27"/>
      <c r="I49" s="74"/>
      <c r="J49" s="27"/>
      <c r="K49" s="28">
        <v>14</v>
      </c>
      <c r="L49" s="113"/>
      <c r="M49" s="27"/>
      <c r="N49" s="27"/>
      <c r="O49" s="26">
        <f t="shared" si="0"/>
        <v>14</v>
      </c>
      <c r="P49" s="27">
        <f t="shared" si="1"/>
        <v>0</v>
      </c>
      <c r="Q49" s="27"/>
      <c r="R49" s="26">
        <f t="shared" si="3"/>
        <v>14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392</v>
      </c>
      <c r="E50" s="55">
        <v>42670</v>
      </c>
      <c r="F50" s="55">
        <v>42670</v>
      </c>
      <c r="G50" s="13" t="s">
        <v>400</v>
      </c>
      <c r="H50" s="37"/>
      <c r="I50" s="37"/>
      <c r="J50" s="46"/>
      <c r="K50" s="51">
        <v>35.200000000000003</v>
      </c>
      <c r="L50" s="114"/>
      <c r="M50" s="46"/>
      <c r="N50" s="48"/>
      <c r="O50" s="26">
        <f t="shared" si="0"/>
        <v>35.200000000000003</v>
      </c>
      <c r="P50" s="27">
        <f t="shared" si="1"/>
        <v>0</v>
      </c>
      <c r="Q50" s="48"/>
      <c r="R50" s="26">
        <f t="shared" si="3"/>
        <v>35.200000000000003</v>
      </c>
    </row>
    <row r="51" spans="1:19" s="12" customFormat="1" ht="12" x14ac:dyDescent="0.2">
      <c r="A51" s="10" t="s">
        <v>38</v>
      </c>
      <c r="B51" s="13" t="s">
        <v>167</v>
      </c>
      <c r="C51" s="11" t="s">
        <v>188</v>
      </c>
      <c r="D51" s="18" t="s">
        <v>407</v>
      </c>
      <c r="E51" s="58">
        <v>42671</v>
      </c>
      <c r="F51" s="58">
        <v>42672</v>
      </c>
      <c r="G51" s="57" t="s">
        <v>388</v>
      </c>
      <c r="H51" s="37"/>
      <c r="I51" s="37"/>
      <c r="J51" s="46">
        <v>327.25</v>
      </c>
      <c r="K51" s="28">
        <f>40+69+64.5+65</f>
        <v>238.5</v>
      </c>
      <c r="L51" s="113">
        <v>112</v>
      </c>
      <c r="M51" s="46"/>
      <c r="N51" s="48"/>
      <c r="O51" s="26">
        <f t="shared" si="0"/>
        <v>677.75</v>
      </c>
      <c r="P51" s="27">
        <f t="shared" si="1"/>
        <v>0</v>
      </c>
      <c r="Q51" s="48"/>
      <c r="R51" s="26">
        <f t="shared" si="3"/>
        <v>677.75</v>
      </c>
    </row>
    <row r="52" spans="1:19" s="12" customFormat="1" ht="12" x14ac:dyDescent="0.2">
      <c r="A52" s="145" t="s">
        <v>38</v>
      </c>
      <c r="B52" s="13" t="s">
        <v>167</v>
      </c>
      <c r="C52" s="11" t="s">
        <v>523</v>
      </c>
      <c r="D52" s="69" t="s">
        <v>475</v>
      </c>
      <c r="E52" s="70">
        <v>42677</v>
      </c>
      <c r="F52" s="70">
        <v>42677</v>
      </c>
      <c r="G52" s="69" t="s">
        <v>18</v>
      </c>
      <c r="H52" s="146">
        <v>25</v>
      </c>
      <c r="I52" s="74"/>
      <c r="J52" s="27"/>
      <c r="K52" s="28"/>
      <c r="L52" s="113"/>
      <c r="M52" s="27"/>
      <c r="N52" s="27"/>
      <c r="O52" s="26">
        <f t="shared" si="0"/>
        <v>0</v>
      </c>
      <c r="P52" s="27">
        <f t="shared" si="1"/>
        <v>0</v>
      </c>
      <c r="Q52" s="27">
        <v>499</v>
      </c>
      <c r="R52" s="26">
        <f t="shared" si="3"/>
        <v>499</v>
      </c>
    </row>
    <row r="53" spans="1:19" s="134" customFormat="1" ht="12" x14ac:dyDescent="0.2">
      <c r="A53" s="10" t="s">
        <v>38</v>
      </c>
      <c r="B53" s="13" t="s">
        <v>167</v>
      </c>
      <c r="C53" s="11" t="s">
        <v>188</v>
      </c>
      <c r="D53" s="18" t="s">
        <v>405</v>
      </c>
      <c r="E53" s="58">
        <v>42691</v>
      </c>
      <c r="F53" s="58">
        <v>42693</v>
      </c>
      <c r="G53" s="57" t="s">
        <v>47</v>
      </c>
      <c r="H53" s="37"/>
      <c r="I53" s="37"/>
      <c r="J53" s="46"/>
      <c r="K53" s="51">
        <v>128.15</v>
      </c>
      <c r="L53" s="114"/>
      <c r="M53" s="46"/>
      <c r="N53" s="48"/>
      <c r="O53" s="26">
        <f t="shared" si="0"/>
        <v>128.15</v>
      </c>
      <c r="P53" s="27">
        <f t="shared" si="1"/>
        <v>0</v>
      </c>
      <c r="Q53" s="48"/>
      <c r="R53" s="26">
        <f t="shared" si="3"/>
        <v>128.15</v>
      </c>
    </row>
    <row r="54" spans="1:19" s="12" customFormat="1" ht="12" x14ac:dyDescent="0.2">
      <c r="A54" s="10" t="s">
        <v>323</v>
      </c>
      <c r="B54" s="37" t="s">
        <v>25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27"/>
      <c r="K54" s="28">
        <v>390.4</v>
      </c>
      <c r="L54" s="113"/>
      <c r="M54" s="27"/>
      <c r="N54" s="27"/>
      <c r="O54" s="26">
        <f t="shared" si="0"/>
        <v>390.4</v>
      </c>
      <c r="P54" s="27">
        <f t="shared" si="1"/>
        <v>0</v>
      </c>
      <c r="Q54" s="27"/>
      <c r="R54" s="26">
        <f t="shared" si="3"/>
        <v>390.4</v>
      </c>
    </row>
    <row r="55" spans="1:19" s="9" customFormat="1" ht="12" x14ac:dyDescent="0.2">
      <c r="A55" s="10" t="s">
        <v>323</v>
      </c>
      <c r="B55" s="18" t="s">
        <v>25</v>
      </c>
      <c r="C55" s="11" t="s">
        <v>523</v>
      </c>
      <c r="D55" s="20"/>
      <c r="E55" s="55">
        <v>42677</v>
      </c>
      <c r="F55" s="55">
        <v>42678</v>
      </c>
      <c r="G55" s="13" t="s">
        <v>18</v>
      </c>
      <c r="H55" s="27"/>
      <c r="I55" s="74"/>
      <c r="J55" s="27"/>
      <c r="K55" s="41"/>
      <c r="L55" s="113">
        <v>173.5</v>
      </c>
      <c r="M55" s="27"/>
      <c r="N55" s="27"/>
      <c r="O55" s="26">
        <f t="shared" si="0"/>
        <v>173.5</v>
      </c>
      <c r="P55" s="27">
        <f t="shared" si="1"/>
        <v>0</v>
      </c>
      <c r="Q55" s="27"/>
      <c r="R55" s="26">
        <f t="shared" si="3"/>
        <v>173.5</v>
      </c>
      <c r="S55" s="12"/>
    </row>
    <row r="56" spans="1:19" s="9" customFormat="1" ht="12" x14ac:dyDescent="0.2">
      <c r="A56" s="37" t="s">
        <v>410</v>
      </c>
      <c r="B56" s="18" t="s">
        <v>402</v>
      </c>
      <c r="C56" s="11" t="s">
        <v>523</v>
      </c>
      <c r="D56" s="20"/>
      <c r="E56" s="55">
        <v>42677</v>
      </c>
      <c r="F56" s="55">
        <v>42678</v>
      </c>
      <c r="G56" s="13" t="s">
        <v>18</v>
      </c>
      <c r="H56" s="27"/>
      <c r="I56" s="74"/>
      <c r="J56" s="27"/>
      <c r="K56" s="28">
        <f>185.6+10</f>
        <v>195.6</v>
      </c>
      <c r="L56" s="113">
        <v>173.5</v>
      </c>
      <c r="M56" s="27">
        <v>15.95</v>
      </c>
      <c r="N56" s="27"/>
      <c r="O56" s="26">
        <f t="shared" si="0"/>
        <v>385.05</v>
      </c>
      <c r="P56" s="27">
        <f t="shared" si="1"/>
        <v>0</v>
      </c>
      <c r="Q56" s="27"/>
      <c r="R56" s="26">
        <f t="shared" si="3"/>
        <v>385.05</v>
      </c>
      <c r="S56" s="87"/>
    </row>
    <row r="60" spans="1:19" x14ac:dyDescent="0.2">
      <c r="G60">
        <v>1</v>
      </c>
      <c r="H60" t="s">
        <v>504</v>
      </c>
    </row>
    <row r="61" spans="1:19" x14ac:dyDescent="0.2">
      <c r="G61">
        <v>2</v>
      </c>
      <c r="H61" t="s">
        <v>522</v>
      </c>
    </row>
    <row r="62" spans="1:19" x14ac:dyDescent="0.2">
      <c r="G62">
        <v>3</v>
      </c>
      <c r="H62" t="s">
        <v>505</v>
      </c>
    </row>
    <row r="63" spans="1:19" x14ac:dyDescent="0.2">
      <c r="G63">
        <v>4</v>
      </c>
      <c r="H63" t="s">
        <v>506</v>
      </c>
    </row>
    <row r="64" spans="1:19" x14ac:dyDescent="0.2">
      <c r="G64">
        <v>5</v>
      </c>
      <c r="H64" t="s">
        <v>507</v>
      </c>
    </row>
    <row r="65" spans="4:15" x14ac:dyDescent="0.2">
      <c r="G65">
        <v>6</v>
      </c>
      <c r="H65" t="s">
        <v>508</v>
      </c>
    </row>
    <row r="66" spans="4:15" x14ac:dyDescent="0.2">
      <c r="G66">
        <v>7</v>
      </c>
      <c r="H66" t="s">
        <v>509</v>
      </c>
    </row>
    <row r="67" spans="4:15" x14ac:dyDescent="0.2">
      <c r="G67">
        <v>8</v>
      </c>
      <c r="H67" t="s">
        <v>510</v>
      </c>
    </row>
    <row r="68" spans="4:15" x14ac:dyDescent="0.2">
      <c r="G68">
        <v>9</v>
      </c>
      <c r="H68" t="s">
        <v>524</v>
      </c>
    </row>
    <row r="69" spans="4:15" x14ac:dyDescent="0.2">
      <c r="G69">
        <v>10</v>
      </c>
      <c r="H69" t="s">
        <v>511</v>
      </c>
    </row>
    <row r="70" spans="4:15" x14ac:dyDescent="0.2">
      <c r="G70">
        <v>11</v>
      </c>
      <c r="H70" t="s">
        <v>359</v>
      </c>
    </row>
    <row r="71" spans="4:15" x14ac:dyDescent="0.2">
      <c r="G71">
        <v>12</v>
      </c>
      <c r="H71" t="s">
        <v>512</v>
      </c>
    </row>
    <row r="72" spans="4:15" x14ac:dyDescent="0.2">
      <c r="G72">
        <v>13</v>
      </c>
      <c r="H72" t="s">
        <v>513</v>
      </c>
    </row>
    <row r="73" spans="4:15" x14ac:dyDescent="0.2">
      <c r="D73" s="149"/>
      <c r="E73" s="149"/>
      <c r="G73">
        <v>14</v>
      </c>
      <c r="H73" t="s">
        <v>514</v>
      </c>
    </row>
    <row r="74" spans="4:15" x14ac:dyDescent="0.2">
      <c r="D74" s="149"/>
      <c r="E74" s="149"/>
      <c r="G74">
        <v>15</v>
      </c>
      <c r="H74" t="s">
        <v>525</v>
      </c>
    </row>
    <row r="75" spans="4:15" x14ac:dyDescent="0.2">
      <c r="D75" s="149"/>
      <c r="E75" s="149"/>
      <c r="G75">
        <v>16</v>
      </c>
      <c r="H75" t="s">
        <v>515</v>
      </c>
    </row>
    <row r="76" spans="4:15" x14ac:dyDescent="0.2">
      <c r="D76" s="149"/>
      <c r="E76" s="149"/>
      <c r="G76">
        <v>17</v>
      </c>
      <c r="H76" t="s">
        <v>521</v>
      </c>
    </row>
    <row r="77" spans="4:15" x14ac:dyDescent="0.2">
      <c r="D77" s="147"/>
      <c r="E77" s="147"/>
      <c r="G77">
        <v>18</v>
      </c>
      <c r="H77" t="s">
        <v>516</v>
      </c>
    </row>
    <row r="78" spans="4:15" x14ac:dyDescent="0.2">
      <c r="D78" s="147"/>
      <c r="E78" s="147"/>
      <c r="G78">
        <v>19</v>
      </c>
      <c r="H78" t="s">
        <v>517</v>
      </c>
      <c r="O78">
        <f>21*20</f>
        <v>420</v>
      </c>
    </row>
    <row r="79" spans="4:15" x14ac:dyDescent="0.2">
      <c r="D79" s="147"/>
      <c r="E79" s="147"/>
      <c r="G79">
        <v>20</v>
      </c>
      <c r="H79" t="s">
        <v>527</v>
      </c>
    </row>
    <row r="80" spans="4:15" x14ac:dyDescent="0.2">
      <c r="D80" s="147"/>
      <c r="E80" s="148"/>
      <c r="G80">
        <v>21</v>
      </c>
      <c r="H80" t="s">
        <v>518</v>
      </c>
    </row>
    <row r="81" spans="4:8" x14ac:dyDescent="0.2">
      <c r="D81" s="147"/>
      <c r="E81" s="147"/>
      <c r="G81">
        <v>22</v>
      </c>
      <c r="H81" t="s">
        <v>38</v>
      </c>
    </row>
    <row r="82" spans="4:8" x14ac:dyDescent="0.2">
      <c r="D82" s="147"/>
      <c r="E82" s="147"/>
      <c r="G82">
        <v>23</v>
      </c>
      <c r="H82" t="s">
        <v>526</v>
      </c>
    </row>
    <row r="83" spans="4:8" x14ac:dyDescent="0.2">
      <c r="G83">
        <v>24</v>
      </c>
      <c r="H83" t="s">
        <v>519</v>
      </c>
    </row>
    <row r="84" spans="4:8" x14ac:dyDescent="0.2">
      <c r="G84">
        <v>25</v>
      </c>
      <c r="H84" t="s">
        <v>520</v>
      </c>
    </row>
  </sheetData>
  <sortState xmlns:xlrd2="http://schemas.microsoft.com/office/spreadsheetml/2017/richdata2"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S83"/>
  <sheetViews>
    <sheetView workbookViewId="0">
      <pane ySplit="1" topLeftCell="A2" activePane="bottomLeft" state="frozen"/>
      <selection pane="bottomLeft" sqref="A1:S83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12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hidden="1" x14ac:dyDescent="0.2">
      <c r="A2" s="10" t="s">
        <v>20</v>
      </c>
      <c r="B2" s="10" t="s">
        <v>21</v>
      </c>
      <c r="C2" s="11" t="s">
        <v>240</v>
      </c>
      <c r="D2" s="8" t="s">
        <v>420</v>
      </c>
      <c r="E2" s="55">
        <v>42690</v>
      </c>
      <c r="F2" s="55">
        <v>42690</v>
      </c>
      <c r="G2" s="10" t="s">
        <v>18</v>
      </c>
      <c r="H2" s="74"/>
      <c r="I2" s="102"/>
      <c r="J2" s="27"/>
      <c r="K2" s="28">
        <v>9.6</v>
      </c>
      <c r="L2" s="113"/>
      <c r="M2" s="27"/>
      <c r="N2" s="27"/>
      <c r="O2" s="26">
        <f t="shared" ref="O2:O33" si="0">SUM(J2:N2)</f>
        <v>9.6</v>
      </c>
      <c r="P2" s="27"/>
      <c r="Q2" s="27"/>
      <c r="R2" s="26">
        <f t="shared" ref="R2:R33" si="1">SUM(O2:Q2)</f>
        <v>9.6</v>
      </c>
      <c r="S2" s="117"/>
    </row>
    <row r="3" spans="1:19" s="12" customFormat="1" ht="24" hidden="1" x14ac:dyDescent="0.2">
      <c r="A3" s="10" t="s">
        <v>20</v>
      </c>
      <c r="B3" s="10" t="s">
        <v>21</v>
      </c>
      <c r="C3" s="11" t="s">
        <v>107</v>
      </c>
      <c r="D3" s="8" t="s">
        <v>421</v>
      </c>
      <c r="E3" s="55">
        <v>42690</v>
      </c>
      <c r="F3" s="55">
        <v>42690</v>
      </c>
      <c r="G3" s="10" t="s">
        <v>18</v>
      </c>
      <c r="H3" s="102"/>
      <c r="I3" s="102">
        <v>1</v>
      </c>
      <c r="J3" s="27"/>
      <c r="K3" s="28">
        <v>13</v>
      </c>
      <c r="L3" s="113"/>
      <c r="M3" s="27"/>
      <c r="N3" s="27"/>
      <c r="O3" s="26">
        <f t="shared" si="0"/>
        <v>13</v>
      </c>
      <c r="P3" s="27">
        <v>64.37</v>
      </c>
      <c r="Q3" s="27"/>
      <c r="R3" s="26">
        <f t="shared" si="1"/>
        <v>77.37</v>
      </c>
    </row>
    <row r="4" spans="1:19" s="12" customFormat="1" ht="12" hidden="1" x14ac:dyDescent="0.2">
      <c r="A4" s="10" t="s">
        <v>20</v>
      </c>
      <c r="B4" s="10" t="s">
        <v>21</v>
      </c>
      <c r="C4" s="11" t="s">
        <v>107</v>
      </c>
      <c r="D4" s="8" t="s">
        <v>422</v>
      </c>
      <c r="E4" s="55">
        <v>42691</v>
      </c>
      <c r="F4" s="55">
        <v>42691</v>
      </c>
      <c r="G4" s="10" t="s">
        <v>18</v>
      </c>
      <c r="H4" s="74"/>
      <c r="I4" s="102"/>
      <c r="J4" s="27"/>
      <c r="K4" s="28">
        <v>15</v>
      </c>
      <c r="L4" s="113"/>
      <c r="M4" s="27"/>
      <c r="N4" s="27"/>
      <c r="O4" s="26">
        <f t="shared" si="0"/>
        <v>15</v>
      </c>
      <c r="P4" s="27"/>
      <c r="Q4" s="27"/>
      <c r="R4" s="26">
        <f t="shared" si="1"/>
        <v>15</v>
      </c>
    </row>
    <row r="5" spans="1:19" s="12" customFormat="1" ht="12" hidden="1" x14ac:dyDescent="0.2">
      <c r="A5" s="10" t="s">
        <v>20</v>
      </c>
      <c r="B5" s="8" t="s">
        <v>21</v>
      </c>
      <c r="C5" s="11" t="s">
        <v>240</v>
      </c>
      <c r="D5" s="20" t="s">
        <v>440</v>
      </c>
      <c r="E5" s="55">
        <v>42697</v>
      </c>
      <c r="F5" s="55">
        <v>42697</v>
      </c>
      <c r="G5" s="10" t="s">
        <v>18</v>
      </c>
      <c r="H5" s="27"/>
      <c r="I5" s="74"/>
      <c r="J5" s="27"/>
      <c r="K5" s="140">
        <v>10.88</v>
      </c>
      <c r="L5" s="113"/>
      <c r="M5" s="27"/>
      <c r="N5" s="27"/>
      <c r="O5" s="26">
        <f t="shared" si="0"/>
        <v>10.88</v>
      </c>
      <c r="P5" s="27"/>
      <c r="Q5" s="27"/>
      <c r="R5" s="26">
        <f t="shared" si="1"/>
        <v>10.88</v>
      </c>
      <c r="S5" s="87"/>
    </row>
    <row r="6" spans="1:19" s="12" customFormat="1" ht="12" hidden="1" x14ac:dyDescent="0.2">
      <c r="A6" s="10" t="s">
        <v>20</v>
      </c>
      <c r="B6" s="10" t="s">
        <v>21</v>
      </c>
      <c r="C6" s="11" t="s">
        <v>240</v>
      </c>
      <c r="D6" s="8" t="s">
        <v>424</v>
      </c>
      <c r="E6" s="55">
        <v>42698</v>
      </c>
      <c r="F6" s="55">
        <v>42698</v>
      </c>
      <c r="G6" s="10" t="s">
        <v>18</v>
      </c>
      <c r="H6" s="74"/>
      <c r="I6" s="102"/>
      <c r="J6" s="27"/>
      <c r="K6" s="28">
        <v>22.12</v>
      </c>
      <c r="L6" s="113"/>
      <c r="M6" s="27"/>
      <c r="N6" s="27"/>
      <c r="O6" s="26">
        <f t="shared" si="0"/>
        <v>22.12</v>
      </c>
      <c r="P6" s="27"/>
      <c r="Q6" s="27"/>
      <c r="R6" s="26">
        <f t="shared" si="1"/>
        <v>22.12</v>
      </c>
    </row>
    <row r="7" spans="1:19" s="12" customFormat="1" ht="12" hidden="1" x14ac:dyDescent="0.2">
      <c r="A7" s="10" t="s">
        <v>20</v>
      </c>
      <c r="B7" s="10" t="s">
        <v>21</v>
      </c>
      <c r="C7" s="11" t="s">
        <v>107</v>
      </c>
      <c r="D7" s="8" t="s">
        <v>417</v>
      </c>
      <c r="E7" s="55">
        <v>42702</v>
      </c>
      <c r="F7" s="55">
        <v>42702</v>
      </c>
      <c r="G7" s="10" t="s">
        <v>18</v>
      </c>
      <c r="H7" s="74"/>
      <c r="I7" s="102"/>
      <c r="J7" s="27"/>
      <c r="K7" s="28">
        <v>18.5</v>
      </c>
      <c r="L7" s="113"/>
      <c r="M7" s="27"/>
      <c r="N7" s="27"/>
      <c r="O7" s="26">
        <f t="shared" si="0"/>
        <v>18.5</v>
      </c>
      <c r="P7" s="27"/>
      <c r="Q7" s="27"/>
      <c r="R7" s="26">
        <f t="shared" si="1"/>
        <v>18.5</v>
      </c>
    </row>
    <row r="8" spans="1:19" s="12" customFormat="1" ht="24" hidden="1" x14ac:dyDescent="0.2">
      <c r="A8" s="10" t="s">
        <v>20</v>
      </c>
      <c r="B8" s="10" t="s">
        <v>21</v>
      </c>
      <c r="C8" s="8" t="s">
        <v>298</v>
      </c>
      <c r="D8" s="8" t="s">
        <v>418</v>
      </c>
      <c r="E8" s="55">
        <v>42709</v>
      </c>
      <c r="F8" s="55">
        <v>42709</v>
      </c>
      <c r="G8" s="10" t="s">
        <v>18</v>
      </c>
      <c r="H8" s="74"/>
      <c r="I8" s="102"/>
      <c r="J8" s="27"/>
      <c r="K8" s="28">
        <v>17.7</v>
      </c>
      <c r="L8" s="113"/>
      <c r="M8" s="27"/>
      <c r="N8" s="27"/>
      <c r="O8" s="26">
        <f t="shared" si="0"/>
        <v>17.7</v>
      </c>
      <c r="P8" s="27"/>
      <c r="Q8" s="27"/>
      <c r="R8" s="26">
        <f t="shared" si="1"/>
        <v>17.7</v>
      </c>
      <c r="S8" s="117"/>
    </row>
    <row r="9" spans="1:19" s="12" customFormat="1" ht="24" hidden="1" x14ac:dyDescent="0.2">
      <c r="A9" s="10" t="s">
        <v>20</v>
      </c>
      <c r="B9" s="10" t="s">
        <v>21</v>
      </c>
      <c r="C9" s="8" t="s">
        <v>298</v>
      </c>
      <c r="D9" s="8" t="s">
        <v>419</v>
      </c>
      <c r="E9" s="55">
        <v>42711</v>
      </c>
      <c r="F9" s="55">
        <v>42711</v>
      </c>
      <c r="G9" s="10" t="s">
        <v>18</v>
      </c>
      <c r="H9" s="74"/>
      <c r="I9" s="102"/>
      <c r="J9" s="27"/>
      <c r="K9" s="28">
        <v>17.7</v>
      </c>
      <c r="L9" s="113"/>
      <c r="M9" s="27"/>
      <c r="N9" s="27"/>
      <c r="O9" s="26">
        <f t="shared" si="0"/>
        <v>17.7</v>
      </c>
      <c r="P9" s="27"/>
      <c r="Q9" s="27"/>
      <c r="R9" s="26">
        <f t="shared" si="1"/>
        <v>17.7</v>
      </c>
      <c r="S9" s="117"/>
    </row>
    <row r="10" spans="1:19" s="9" customFormat="1" ht="12" hidden="1" x14ac:dyDescent="0.2">
      <c r="A10" s="7" t="s">
        <v>20</v>
      </c>
      <c r="B10" s="14" t="s">
        <v>21</v>
      </c>
      <c r="C10" s="11" t="s">
        <v>240</v>
      </c>
      <c r="D10" s="18" t="s">
        <v>426</v>
      </c>
      <c r="E10" s="58">
        <v>42745</v>
      </c>
      <c r="F10" s="58">
        <v>42745</v>
      </c>
      <c r="G10" s="10" t="s">
        <v>18</v>
      </c>
      <c r="H10" s="52"/>
      <c r="I10" s="74"/>
      <c r="J10" s="28"/>
      <c r="K10" s="28">
        <f>10.2+12</f>
        <v>22.2</v>
      </c>
      <c r="L10" s="28"/>
      <c r="M10" s="28"/>
      <c r="N10" s="28"/>
      <c r="O10" s="26">
        <f t="shared" si="0"/>
        <v>22.2</v>
      </c>
      <c r="P10" s="28"/>
      <c r="Q10" s="28"/>
      <c r="R10" s="26">
        <f t="shared" si="1"/>
        <v>22.2</v>
      </c>
      <c r="S10" s="12"/>
    </row>
    <row r="11" spans="1:19" s="9" customFormat="1" ht="12" hidden="1" x14ac:dyDescent="0.2">
      <c r="A11" s="10" t="s">
        <v>20</v>
      </c>
      <c r="B11" s="10" t="s">
        <v>21</v>
      </c>
      <c r="C11" s="8" t="s">
        <v>298</v>
      </c>
      <c r="D11" s="8" t="s">
        <v>423</v>
      </c>
      <c r="E11" s="55">
        <v>42751</v>
      </c>
      <c r="F11" s="55">
        <v>42752</v>
      </c>
      <c r="G11" s="10" t="s">
        <v>496</v>
      </c>
      <c r="H11" s="27"/>
      <c r="I11" s="74"/>
      <c r="J11" s="27"/>
      <c r="K11" s="46">
        <v>72</v>
      </c>
      <c r="L11" s="113">
        <v>149</v>
      </c>
      <c r="M11" s="27"/>
      <c r="N11" s="27"/>
      <c r="O11" s="26">
        <f t="shared" si="0"/>
        <v>221</v>
      </c>
      <c r="P11" s="27"/>
      <c r="Q11" s="27"/>
      <c r="R11" s="26">
        <f t="shared" si="1"/>
        <v>221</v>
      </c>
      <c r="S11" s="87"/>
    </row>
    <row r="12" spans="1:19" s="9" customFormat="1" ht="24" hidden="1" x14ac:dyDescent="0.2">
      <c r="A12" s="7" t="s">
        <v>20</v>
      </c>
      <c r="B12" s="8" t="s">
        <v>21</v>
      </c>
      <c r="C12" s="11" t="s">
        <v>240</v>
      </c>
      <c r="D12" s="13" t="s">
        <v>427</v>
      </c>
      <c r="E12" s="55">
        <v>42753</v>
      </c>
      <c r="F12" s="55">
        <v>42753</v>
      </c>
      <c r="G12" s="10" t="s">
        <v>18</v>
      </c>
      <c r="H12" s="7"/>
      <c r="I12" s="7"/>
      <c r="J12" s="7"/>
      <c r="K12" s="46">
        <v>14.66</v>
      </c>
      <c r="L12" s="114"/>
      <c r="M12" s="46"/>
      <c r="N12" s="46"/>
      <c r="O12" s="26">
        <f t="shared" si="0"/>
        <v>14.66</v>
      </c>
      <c r="P12" s="46"/>
      <c r="Q12" s="46"/>
      <c r="R12" s="26">
        <f t="shared" si="1"/>
        <v>14.66</v>
      </c>
    </row>
    <row r="13" spans="1:19" s="9" customFormat="1" ht="12" hidden="1" x14ac:dyDescent="0.2">
      <c r="A13" s="10" t="s">
        <v>20</v>
      </c>
      <c r="B13" s="10" t="s">
        <v>21</v>
      </c>
      <c r="C13" s="11" t="s">
        <v>188</v>
      </c>
      <c r="D13" s="8" t="s">
        <v>425</v>
      </c>
      <c r="E13" s="55">
        <v>42771</v>
      </c>
      <c r="F13" s="55">
        <v>42771</v>
      </c>
      <c r="G13" s="13" t="s">
        <v>47</v>
      </c>
      <c r="H13" s="74"/>
      <c r="I13" s="102"/>
      <c r="J13" s="27">
        <f>416.25+18+75</f>
        <v>509.25</v>
      </c>
      <c r="K13" s="28">
        <f>36.74+37.45+58.65+62.1</f>
        <v>194.94</v>
      </c>
      <c r="L13" s="113">
        <v>646.84</v>
      </c>
      <c r="M13" s="46">
        <v>50.88</v>
      </c>
      <c r="N13" s="27"/>
      <c r="O13" s="26">
        <f t="shared" si="0"/>
        <v>1401.9100000000003</v>
      </c>
      <c r="P13" s="27"/>
      <c r="Q13" s="27"/>
      <c r="R13" s="26">
        <f t="shared" si="1"/>
        <v>1401.9100000000003</v>
      </c>
      <c r="S13" s="12"/>
    </row>
    <row r="14" spans="1:19" s="9" customFormat="1" ht="12" hidden="1" x14ac:dyDescent="0.2">
      <c r="A14" s="7" t="s">
        <v>20</v>
      </c>
      <c r="B14" s="8" t="s">
        <v>21</v>
      </c>
      <c r="C14" s="11" t="s">
        <v>240</v>
      </c>
      <c r="D14" s="8" t="s">
        <v>428</v>
      </c>
      <c r="E14" s="55">
        <v>42775</v>
      </c>
      <c r="F14" s="55">
        <v>42775</v>
      </c>
      <c r="G14" s="10" t="s">
        <v>18</v>
      </c>
      <c r="H14" s="27"/>
      <c r="I14" s="74"/>
      <c r="J14" s="27"/>
      <c r="K14" s="28">
        <v>25</v>
      </c>
      <c r="L14" s="113"/>
      <c r="M14" s="27"/>
      <c r="N14" s="27"/>
      <c r="O14" s="26">
        <f t="shared" si="0"/>
        <v>25</v>
      </c>
      <c r="P14" s="27"/>
      <c r="Q14" s="27"/>
      <c r="R14" s="26">
        <f t="shared" si="1"/>
        <v>25</v>
      </c>
      <c r="S14" s="87"/>
    </row>
    <row r="15" spans="1:19" s="9" customFormat="1" ht="12" hidden="1" x14ac:dyDescent="0.2">
      <c r="A15" s="10" t="s">
        <v>20</v>
      </c>
      <c r="B15" s="8" t="s">
        <v>21</v>
      </c>
      <c r="C15" s="11" t="s">
        <v>240</v>
      </c>
      <c r="D15" s="20" t="s">
        <v>441</v>
      </c>
      <c r="E15" s="55">
        <v>42795</v>
      </c>
      <c r="F15" s="55">
        <v>42795</v>
      </c>
      <c r="G15" s="10" t="s">
        <v>18</v>
      </c>
      <c r="H15" s="27"/>
      <c r="I15" s="74"/>
      <c r="J15" s="27"/>
      <c r="K15" s="140">
        <v>12.25</v>
      </c>
      <c r="L15" s="113"/>
      <c r="M15" s="27"/>
      <c r="N15" s="27"/>
      <c r="O15" s="26">
        <f t="shared" si="0"/>
        <v>12.25</v>
      </c>
      <c r="P15" s="27"/>
      <c r="Q15" s="27"/>
      <c r="R15" s="26">
        <f t="shared" si="1"/>
        <v>12.25</v>
      </c>
      <c r="S15" s="87"/>
    </row>
    <row r="16" spans="1:19" s="9" customFormat="1" ht="12" hidden="1" x14ac:dyDescent="0.2">
      <c r="A16" s="7" t="s">
        <v>20</v>
      </c>
      <c r="B16" s="8" t="s">
        <v>21</v>
      </c>
      <c r="C16" s="8" t="s">
        <v>476</v>
      </c>
      <c r="D16" s="8" t="s">
        <v>429</v>
      </c>
      <c r="E16" s="55">
        <v>42821</v>
      </c>
      <c r="F16" s="55">
        <v>42821</v>
      </c>
      <c r="G16" s="10" t="s">
        <v>18</v>
      </c>
      <c r="H16" s="27"/>
      <c r="I16" s="74"/>
      <c r="J16" s="27"/>
      <c r="K16" s="28">
        <v>12</v>
      </c>
      <c r="L16" s="113"/>
      <c r="M16" s="27"/>
      <c r="N16" s="27"/>
      <c r="O16" s="26">
        <f t="shared" si="0"/>
        <v>12</v>
      </c>
      <c r="P16" s="27"/>
      <c r="Q16" s="27"/>
      <c r="R16" s="26">
        <f t="shared" si="1"/>
        <v>12</v>
      </c>
      <c r="S16" s="87"/>
    </row>
    <row r="17" spans="1:19" s="9" customFormat="1" ht="12" hidden="1" x14ac:dyDescent="0.2">
      <c r="A17" s="7" t="s">
        <v>389</v>
      </c>
      <c r="B17" s="8" t="s">
        <v>34</v>
      </c>
      <c r="C17" s="8" t="s">
        <v>312</v>
      </c>
      <c r="D17" s="8" t="s">
        <v>449</v>
      </c>
      <c r="E17" s="55">
        <v>42453</v>
      </c>
      <c r="F17" s="55">
        <v>42424</v>
      </c>
      <c r="G17" s="10" t="s">
        <v>18</v>
      </c>
      <c r="H17" s="27"/>
      <c r="I17" s="74"/>
      <c r="J17" s="28"/>
      <c r="K17" s="28">
        <v>22</v>
      </c>
      <c r="L17" s="113"/>
      <c r="M17" s="28"/>
      <c r="N17" s="28"/>
      <c r="O17" s="26">
        <f t="shared" si="0"/>
        <v>22</v>
      </c>
      <c r="P17" s="28"/>
      <c r="Q17" s="28"/>
      <c r="R17" s="26">
        <f t="shared" si="1"/>
        <v>22</v>
      </c>
      <c r="S17" s="12"/>
    </row>
    <row r="18" spans="1:19" s="9" customFormat="1" ht="12" hidden="1" x14ac:dyDescent="0.2">
      <c r="A18" s="7" t="s">
        <v>389</v>
      </c>
      <c r="B18" s="8" t="s">
        <v>34</v>
      </c>
      <c r="C18" s="8" t="s">
        <v>240</v>
      </c>
      <c r="D18" s="8" t="s">
        <v>450</v>
      </c>
      <c r="E18" s="55">
        <v>42467</v>
      </c>
      <c r="F18" s="55">
        <v>42467</v>
      </c>
      <c r="G18" s="10" t="s">
        <v>18</v>
      </c>
      <c r="H18" s="27"/>
      <c r="I18" s="74"/>
      <c r="J18" s="28"/>
      <c r="K18" s="28">
        <v>29</v>
      </c>
      <c r="L18" s="113"/>
      <c r="M18" s="28"/>
      <c r="N18" s="28"/>
      <c r="O18" s="26">
        <f t="shared" si="0"/>
        <v>29</v>
      </c>
      <c r="P18" s="28"/>
      <c r="Q18" s="28"/>
      <c r="R18" s="26">
        <f t="shared" si="1"/>
        <v>29</v>
      </c>
      <c r="S18" s="12"/>
    </row>
    <row r="19" spans="1:19" s="9" customFormat="1" ht="12" hidden="1" x14ac:dyDescent="0.2">
      <c r="A19" s="7" t="s">
        <v>389</v>
      </c>
      <c r="B19" s="8" t="s">
        <v>34</v>
      </c>
      <c r="C19" s="8" t="s">
        <v>298</v>
      </c>
      <c r="D19" s="8" t="s">
        <v>451</v>
      </c>
      <c r="E19" s="55">
        <v>42494</v>
      </c>
      <c r="F19" s="55">
        <v>42494</v>
      </c>
      <c r="G19" s="10" t="s">
        <v>18</v>
      </c>
      <c r="H19" s="27"/>
      <c r="I19" s="74"/>
      <c r="J19" s="28"/>
      <c r="K19" s="28">
        <v>22</v>
      </c>
      <c r="L19" s="113"/>
      <c r="M19" s="28"/>
      <c r="N19" s="28"/>
      <c r="O19" s="26">
        <f t="shared" si="0"/>
        <v>22</v>
      </c>
      <c r="P19" s="28"/>
      <c r="Q19" s="28"/>
      <c r="R19" s="26">
        <f t="shared" si="1"/>
        <v>22</v>
      </c>
      <c r="S19" s="12"/>
    </row>
    <row r="20" spans="1:19" s="9" customFormat="1" ht="24" hidden="1" x14ac:dyDescent="0.2">
      <c r="A20" s="7" t="s">
        <v>389</v>
      </c>
      <c r="B20" s="8" t="s">
        <v>34</v>
      </c>
      <c r="C20" s="8" t="s">
        <v>409</v>
      </c>
      <c r="D20" s="8" t="s">
        <v>452</v>
      </c>
      <c r="E20" s="55">
        <v>42495</v>
      </c>
      <c r="F20" s="55">
        <v>42495</v>
      </c>
      <c r="G20" s="13" t="s">
        <v>35</v>
      </c>
      <c r="H20" s="27"/>
      <c r="I20" s="74"/>
      <c r="J20" s="28"/>
      <c r="K20" s="28">
        <f>138.4+24</f>
        <v>162.4</v>
      </c>
      <c r="L20" s="113"/>
      <c r="M20" s="28"/>
      <c r="N20" s="28"/>
      <c r="O20" s="26">
        <f t="shared" si="0"/>
        <v>162.4</v>
      </c>
      <c r="P20" s="28"/>
      <c r="Q20" s="28"/>
      <c r="R20" s="26">
        <f t="shared" si="1"/>
        <v>162.4</v>
      </c>
      <c r="S20" s="12"/>
    </row>
    <row r="21" spans="1:19" s="9" customFormat="1" ht="24" hidden="1" x14ac:dyDescent="0.2">
      <c r="A21" s="7" t="s">
        <v>389</v>
      </c>
      <c r="B21" s="8" t="s">
        <v>34</v>
      </c>
      <c r="C21" s="8" t="s">
        <v>409</v>
      </c>
      <c r="D21" s="8" t="s">
        <v>453</v>
      </c>
      <c r="E21" s="55">
        <v>42517</v>
      </c>
      <c r="F21" s="55">
        <v>42518</v>
      </c>
      <c r="G21" s="13" t="s">
        <v>118</v>
      </c>
      <c r="H21" s="27"/>
      <c r="I21" s="74"/>
      <c r="J21" s="28"/>
      <c r="K21" s="28">
        <f>85.2+12+12.39</f>
        <v>109.59</v>
      </c>
      <c r="L21" s="113"/>
      <c r="M21" s="28">
        <v>35.4</v>
      </c>
      <c r="N21" s="28"/>
      <c r="O21" s="26">
        <f t="shared" si="0"/>
        <v>144.99</v>
      </c>
      <c r="P21" s="28"/>
      <c r="Q21" s="28"/>
      <c r="R21" s="26">
        <f t="shared" si="1"/>
        <v>144.99</v>
      </c>
      <c r="S21" s="12"/>
    </row>
    <row r="22" spans="1:19" s="9" customFormat="1" ht="12" hidden="1" x14ac:dyDescent="0.2">
      <c r="A22" s="7" t="s">
        <v>389</v>
      </c>
      <c r="B22" s="8" t="s">
        <v>34</v>
      </c>
      <c r="C22" s="8" t="s">
        <v>409</v>
      </c>
      <c r="D22" s="8" t="s">
        <v>453</v>
      </c>
      <c r="E22" s="55">
        <v>42520</v>
      </c>
      <c r="F22" s="55">
        <v>42521</v>
      </c>
      <c r="G22" s="13" t="s">
        <v>327</v>
      </c>
      <c r="H22" s="27"/>
      <c r="I22" s="74"/>
      <c r="J22" s="28"/>
      <c r="K22" s="28">
        <f>27.5+105.39</f>
        <v>132.88999999999999</v>
      </c>
      <c r="L22" s="113"/>
      <c r="M22" s="28">
        <v>9.9499999999999993</v>
      </c>
      <c r="N22" s="28"/>
      <c r="O22" s="26">
        <f t="shared" si="0"/>
        <v>142.83999999999997</v>
      </c>
      <c r="P22" s="28"/>
      <c r="Q22" s="28"/>
      <c r="R22" s="26">
        <f t="shared" si="1"/>
        <v>142.83999999999997</v>
      </c>
      <c r="S22" s="12"/>
    </row>
    <row r="23" spans="1:19" s="9" customFormat="1" ht="12" hidden="1" x14ac:dyDescent="0.2">
      <c r="A23" s="7" t="s">
        <v>389</v>
      </c>
      <c r="B23" s="8" t="s">
        <v>34</v>
      </c>
      <c r="C23" s="8" t="s">
        <v>409</v>
      </c>
      <c r="D23" s="8" t="s">
        <v>498</v>
      </c>
      <c r="E23" s="55">
        <v>42523</v>
      </c>
      <c r="F23" s="55">
        <v>42523</v>
      </c>
      <c r="G23" s="13" t="s">
        <v>47</v>
      </c>
      <c r="H23" s="27"/>
      <c r="I23" s="74"/>
      <c r="J23" s="28"/>
      <c r="K23" s="28">
        <v>42.61</v>
      </c>
      <c r="L23" s="113"/>
      <c r="M23" s="28">
        <v>18.7</v>
      </c>
      <c r="N23" s="28"/>
      <c r="O23" s="26">
        <f t="shared" si="0"/>
        <v>61.31</v>
      </c>
      <c r="P23" s="28"/>
      <c r="Q23" s="28"/>
      <c r="R23" s="26">
        <f t="shared" si="1"/>
        <v>61.31</v>
      </c>
      <c r="S23" s="12"/>
    </row>
    <row r="24" spans="1:19" s="9" customFormat="1" ht="24" hidden="1" x14ac:dyDescent="0.2">
      <c r="A24" s="7" t="s">
        <v>389</v>
      </c>
      <c r="B24" s="8" t="s">
        <v>34</v>
      </c>
      <c r="C24" s="8" t="s">
        <v>64</v>
      </c>
      <c r="D24" s="8" t="s">
        <v>310</v>
      </c>
      <c r="E24" s="55">
        <v>42529</v>
      </c>
      <c r="F24" s="55">
        <v>42529</v>
      </c>
      <c r="G24" s="13" t="s">
        <v>296</v>
      </c>
      <c r="H24" s="27"/>
      <c r="I24" s="74"/>
      <c r="J24" s="28"/>
      <c r="K24" s="28">
        <f>11.56+12.6+93.88</f>
        <v>118.03999999999999</v>
      </c>
      <c r="L24" s="113"/>
      <c r="M24" s="28">
        <v>9.9499999999999993</v>
      </c>
      <c r="N24" s="28"/>
      <c r="O24" s="26">
        <f t="shared" si="0"/>
        <v>127.99</v>
      </c>
      <c r="P24" s="28"/>
      <c r="Q24" s="28"/>
      <c r="R24" s="26">
        <f t="shared" si="1"/>
        <v>127.99</v>
      </c>
      <c r="S24" s="12"/>
    </row>
    <row r="25" spans="1:19" s="9" customFormat="1" ht="12" hidden="1" x14ac:dyDescent="0.2">
      <c r="A25" s="7" t="s">
        <v>389</v>
      </c>
      <c r="B25" s="8" t="s">
        <v>34</v>
      </c>
      <c r="C25" s="8" t="s">
        <v>346</v>
      </c>
      <c r="D25" s="8" t="s">
        <v>454</v>
      </c>
      <c r="E25" s="55">
        <v>42530</v>
      </c>
      <c r="F25" s="55">
        <v>42530</v>
      </c>
      <c r="G25" s="13" t="s">
        <v>128</v>
      </c>
      <c r="H25" s="27"/>
      <c r="I25" s="74"/>
      <c r="J25" s="28"/>
      <c r="K25" s="28">
        <v>33.72</v>
      </c>
      <c r="L25" s="113"/>
      <c r="M25" s="28"/>
      <c r="N25" s="28"/>
      <c r="O25" s="26">
        <f t="shared" si="0"/>
        <v>33.72</v>
      </c>
      <c r="P25" s="28"/>
      <c r="Q25" s="28"/>
      <c r="R25" s="26">
        <f t="shared" si="1"/>
        <v>33.72</v>
      </c>
      <c r="S25" s="12"/>
    </row>
    <row r="26" spans="1:19" s="9" customFormat="1" ht="12" hidden="1" x14ac:dyDescent="0.2">
      <c r="A26" s="7" t="s">
        <v>389</v>
      </c>
      <c r="B26" s="8" t="s">
        <v>34</v>
      </c>
      <c r="C26" s="8" t="s">
        <v>298</v>
      </c>
      <c r="D26" s="8" t="s">
        <v>455</v>
      </c>
      <c r="E26" s="55">
        <v>42548</v>
      </c>
      <c r="F26" s="55">
        <v>42548</v>
      </c>
      <c r="G26" s="10" t="s">
        <v>18</v>
      </c>
      <c r="H26" s="27"/>
      <c r="I26" s="74"/>
      <c r="J26" s="28"/>
      <c r="K26" s="28">
        <v>11.4</v>
      </c>
      <c r="L26" s="113"/>
      <c r="M26" s="28"/>
      <c r="N26" s="28"/>
      <c r="O26" s="26">
        <f t="shared" si="0"/>
        <v>11.4</v>
      </c>
      <c r="P26" s="28"/>
      <c r="Q26" s="28"/>
      <c r="R26" s="26">
        <f t="shared" si="1"/>
        <v>11.4</v>
      </c>
      <c r="S26" s="12"/>
    </row>
    <row r="27" spans="1:19" s="9" customFormat="1" ht="12" hidden="1" x14ac:dyDescent="0.2">
      <c r="A27" s="7" t="s">
        <v>389</v>
      </c>
      <c r="B27" s="8" t="s">
        <v>34</v>
      </c>
      <c r="C27" s="8" t="s">
        <v>409</v>
      </c>
      <c r="D27" s="8" t="s">
        <v>456</v>
      </c>
      <c r="E27" s="55">
        <v>42621</v>
      </c>
      <c r="F27" s="55">
        <v>42621</v>
      </c>
      <c r="G27" s="13" t="s">
        <v>47</v>
      </c>
      <c r="H27" s="27"/>
      <c r="I27" s="74"/>
      <c r="J27" s="28"/>
      <c r="K27" s="28">
        <v>58</v>
      </c>
      <c r="L27" s="113"/>
      <c r="M27" s="28"/>
      <c r="N27" s="28"/>
      <c r="O27" s="26">
        <f t="shared" si="0"/>
        <v>58</v>
      </c>
      <c r="P27" s="28"/>
      <c r="Q27" s="28"/>
      <c r="R27" s="26">
        <f t="shared" si="1"/>
        <v>58</v>
      </c>
      <c r="S27" s="12"/>
    </row>
    <row r="28" spans="1:19" s="9" customFormat="1" ht="12" hidden="1" x14ac:dyDescent="0.2">
      <c r="A28" s="7" t="s">
        <v>389</v>
      </c>
      <c r="B28" s="8" t="s">
        <v>34</v>
      </c>
      <c r="C28" s="8" t="s">
        <v>409</v>
      </c>
      <c r="D28" s="8" t="s">
        <v>457</v>
      </c>
      <c r="E28" s="55">
        <v>42622</v>
      </c>
      <c r="F28" s="55">
        <v>42623</v>
      </c>
      <c r="G28" s="13" t="s">
        <v>99</v>
      </c>
      <c r="H28" s="27"/>
      <c r="I28" s="74"/>
      <c r="J28" s="28"/>
      <c r="K28" s="28">
        <v>111.22</v>
      </c>
      <c r="L28" s="113"/>
      <c r="M28" s="28">
        <v>33.880000000000003</v>
      </c>
      <c r="N28" s="28"/>
      <c r="O28" s="26">
        <f t="shared" si="0"/>
        <v>145.1</v>
      </c>
      <c r="P28" s="28"/>
      <c r="Q28" s="28"/>
      <c r="R28" s="26">
        <f t="shared" si="1"/>
        <v>145.1</v>
      </c>
      <c r="S28" s="12"/>
    </row>
    <row r="29" spans="1:19" s="9" customFormat="1" ht="24" hidden="1" x14ac:dyDescent="0.2">
      <c r="A29" s="7" t="s">
        <v>389</v>
      </c>
      <c r="B29" s="8" t="s">
        <v>34</v>
      </c>
      <c r="C29" s="8" t="s">
        <v>64</v>
      </c>
      <c r="D29" s="8" t="s">
        <v>458</v>
      </c>
      <c r="E29" s="55">
        <v>42626</v>
      </c>
      <c r="F29" s="55">
        <v>42626</v>
      </c>
      <c r="G29" s="13" t="s">
        <v>35</v>
      </c>
      <c r="H29" s="27"/>
      <c r="I29" s="74"/>
      <c r="J29" s="28"/>
      <c r="K29" s="28">
        <v>49.95</v>
      </c>
      <c r="L29" s="113"/>
      <c r="M29" s="28"/>
      <c r="N29" s="28"/>
      <c r="O29" s="26">
        <f t="shared" si="0"/>
        <v>49.95</v>
      </c>
      <c r="P29" s="28"/>
      <c r="Q29" s="28"/>
      <c r="R29" s="26">
        <f t="shared" si="1"/>
        <v>49.95</v>
      </c>
      <c r="S29" s="12"/>
    </row>
    <row r="30" spans="1:19" s="9" customFormat="1" ht="12" hidden="1" x14ac:dyDescent="0.2">
      <c r="A30" s="7" t="s">
        <v>389</v>
      </c>
      <c r="B30" s="8" t="s">
        <v>34</v>
      </c>
      <c r="C30" s="11" t="s">
        <v>55</v>
      </c>
      <c r="D30" s="8" t="s">
        <v>430</v>
      </c>
      <c r="E30" s="55">
        <v>42640</v>
      </c>
      <c r="F30" s="55">
        <v>42640</v>
      </c>
      <c r="G30" s="13" t="s">
        <v>99</v>
      </c>
      <c r="H30" s="27"/>
      <c r="I30" s="74"/>
      <c r="J30" s="28"/>
      <c r="K30" s="28">
        <v>66</v>
      </c>
      <c r="L30" s="113"/>
      <c r="M30" s="28">
        <v>17.7</v>
      </c>
      <c r="N30" s="28"/>
      <c r="O30" s="26">
        <f t="shared" si="0"/>
        <v>83.7</v>
      </c>
      <c r="P30" s="28"/>
      <c r="Q30" s="28"/>
      <c r="R30" s="26">
        <f t="shared" si="1"/>
        <v>83.7</v>
      </c>
      <c r="S30" s="12"/>
    </row>
    <row r="31" spans="1:19" s="9" customFormat="1" ht="12" hidden="1" x14ac:dyDescent="0.2">
      <c r="A31" s="7" t="s">
        <v>389</v>
      </c>
      <c r="B31" s="8" t="s">
        <v>34</v>
      </c>
      <c r="C31" s="8" t="s">
        <v>409</v>
      </c>
      <c r="D31" s="8" t="s">
        <v>459</v>
      </c>
      <c r="E31" s="55">
        <v>42683</v>
      </c>
      <c r="F31" s="55">
        <v>42683</v>
      </c>
      <c r="G31" s="13" t="s">
        <v>93</v>
      </c>
      <c r="H31" s="27"/>
      <c r="I31" s="74"/>
      <c r="J31" s="28"/>
      <c r="K31" s="28">
        <v>60.34</v>
      </c>
      <c r="L31" s="113"/>
      <c r="M31" s="28">
        <v>9.9499999999999993</v>
      </c>
      <c r="N31" s="28"/>
      <c r="O31" s="26">
        <f t="shared" si="0"/>
        <v>70.290000000000006</v>
      </c>
      <c r="P31" s="28"/>
      <c r="Q31" s="28"/>
      <c r="R31" s="26">
        <f t="shared" si="1"/>
        <v>70.290000000000006</v>
      </c>
      <c r="S31" s="12"/>
    </row>
    <row r="32" spans="1:19" s="9" customFormat="1" ht="12" hidden="1" x14ac:dyDescent="0.2">
      <c r="A32" s="7" t="s">
        <v>389</v>
      </c>
      <c r="B32" s="8" t="s">
        <v>34</v>
      </c>
      <c r="C32" s="8" t="s">
        <v>240</v>
      </c>
      <c r="D32" s="8" t="s">
        <v>460</v>
      </c>
      <c r="E32" s="55">
        <v>42698</v>
      </c>
      <c r="F32" s="55">
        <v>42698</v>
      </c>
      <c r="G32" s="10" t="s">
        <v>18</v>
      </c>
      <c r="H32" s="27"/>
      <c r="I32" s="74"/>
      <c r="J32" s="28"/>
      <c r="K32" s="28">
        <v>35.83</v>
      </c>
      <c r="L32" s="113"/>
      <c r="M32" s="28"/>
      <c r="N32" s="28"/>
      <c r="O32" s="26">
        <f t="shared" si="0"/>
        <v>35.83</v>
      </c>
      <c r="P32" s="28"/>
      <c r="Q32" s="28"/>
      <c r="R32" s="26">
        <f t="shared" si="1"/>
        <v>35.83</v>
      </c>
      <c r="S32" s="12"/>
    </row>
    <row r="33" spans="1:19" s="9" customFormat="1" ht="12" hidden="1" x14ac:dyDescent="0.2">
      <c r="A33" s="7" t="s">
        <v>389</v>
      </c>
      <c r="B33" s="8" t="s">
        <v>34</v>
      </c>
      <c r="C33" s="8" t="s">
        <v>298</v>
      </c>
      <c r="D33" s="8" t="s">
        <v>423</v>
      </c>
      <c r="E33" s="55">
        <v>42751</v>
      </c>
      <c r="F33" s="55">
        <v>42752</v>
      </c>
      <c r="G33" s="10" t="s">
        <v>496</v>
      </c>
      <c r="H33" s="27"/>
      <c r="I33" s="74"/>
      <c r="J33" s="27"/>
      <c r="K33" s="28"/>
      <c r="L33" s="113">
        <v>149</v>
      </c>
      <c r="M33" s="27"/>
      <c r="N33" s="27"/>
      <c r="O33" s="26">
        <f t="shared" si="0"/>
        <v>149</v>
      </c>
      <c r="P33" s="27"/>
      <c r="Q33" s="27"/>
      <c r="R33" s="26">
        <f t="shared" si="1"/>
        <v>149</v>
      </c>
      <c r="S33" s="87"/>
    </row>
    <row r="34" spans="1:19" s="9" customFormat="1" ht="12" hidden="1" x14ac:dyDescent="0.2">
      <c r="A34" s="7" t="s">
        <v>389</v>
      </c>
      <c r="B34" s="8" t="s">
        <v>34</v>
      </c>
      <c r="C34" s="8" t="s">
        <v>409</v>
      </c>
      <c r="D34" s="8" t="s">
        <v>461</v>
      </c>
      <c r="E34" s="55">
        <v>42793</v>
      </c>
      <c r="F34" s="55">
        <v>42794</v>
      </c>
      <c r="G34" s="13" t="s">
        <v>251</v>
      </c>
      <c r="H34" s="27"/>
      <c r="I34" s="74"/>
      <c r="J34" s="28"/>
      <c r="K34" s="28">
        <f>133.65+24+14.5</f>
        <v>172.15</v>
      </c>
      <c r="L34" s="113"/>
      <c r="M34" s="28">
        <v>8.85</v>
      </c>
      <c r="N34" s="28"/>
      <c r="O34" s="26">
        <f t="shared" ref="O34:O60" si="2">SUM(J34:N34)</f>
        <v>181</v>
      </c>
      <c r="P34" s="28"/>
      <c r="Q34" s="28"/>
      <c r="R34" s="26">
        <f t="shared" ref="R34:R60" si="3">SUM(O34:Q34)</f>
        <v>181</v>
      </c>
      <c r="S34" s="12"/>
    </row>
    <row r="35" spans="1:19" s="9" customFormat="1" ht="12" hidden="1" x14ac:dyDescent="0.2">
      <c r="A35" s="7" t="s">
        <v>389</v>
      </c>
      <c r="B35" s="8" t="s">
        <v>34</v>
      </c>
      <c r="C35" s="8" t="s">
        <v>409</v>
      </c>
      <c r="D35" s="8" t="s">
        <v>463</v>
      </c>
      <c r="E35" s="55">
        <v>42793</v>
      </c>
      <c r="F35" s="55">
        <v>42793</v>
      </c>
      <c r="G35" s="13" t="s">
        <v>129</v>
      </c>
      <c r="H35" s="27"/>
      <c r="I35" s="74"/>
      <c r="J35" s="28"/>
      <c r="K35" s="28">
        <v>9.85</v>
      </c>
      <c r="L35" s="113"/>
      <c r="M35" s="28"/>
      <c r="N35" s="28"/>
      <c r="O35" s="26">
        <f t="shared" si="2"/>
        <v>9.85</v>
      </c>
      <c r="P35" s="28"/>
      <c r="Q35" s="28"/>
      <c r="R35" s="26">
        <f t="shared" si="3"/>
        <v>9.85</v>
      </c>
      <c r="S35" s="12"/>
    </row>
    <row r="36" spans="1:19" s="9" customFormat="1" ht="12" hidden="1" x14ac:dyDescent="0.2">
      <c r="A36" s="7" t="s">
        <v>389</v>
      </c>
      <c r="B36" s="8" t="s">
        <v>34</v>
      </c>
      <c r="C36" s="8" t="s">
        <v>409</v>
      </c>
      <c r="D36" s="8" t="s">
        <v>497</v>
      </c>
      <c r="E36" s="55">
        <v>42796</v>
      </c>
      <c r="F36" s="55">
        <v>42796</v>
      </c>
      <c r="G36" s="13" t="s">
        <v>47</v>
      </c>
      <c r="H36" s="27"/>
      <c r="I36" s="74"/>
      <c r="J36" s="28"/>
      <c r="K36" s="28">
        <f>21.6+20.1+36.63+199.24</f>
        <v>277.57000000000005</v>
      </c>
      <c r="L36" s="113"/>
      <c r="M36" s="28"/>
      <c r="N36" s="28"/>
      <c r="O36" s="26">
        <f t="shared" si="2"/>
        <v>277.57000000000005</v>
      </c>
      <c r="P36" s="28"/>
      <c r="Q36" s="28"/>
      <c r="R36" s="26">
        <f t="shared" si="3"/>
        <v>277.57000000000005</v>
      </c>
      <c r="S36" s="12"/>
    </row>
    <row r="37" spans="1:19" s="9" customFormat="1" ht="12" hidden="1" x14ac:dyDescent="0.2">
      <c r="A37" s="7" t="s">
        <v>389</v>
      </c>
      <c r="B37" s="8" t="s">
        <v>34</v>
      </c>
      <c r="C37" s="8" t="s">
        <v>409</v>
      </c>
      <c r="D37" s="8" t="s">
        <v>462</v>
      </c>
      <c r="E37" s="55">
        <v>42797</v>
      </c>
      <c r="F37" s="55">
        <v>42797</v>
      </c>
      <c r="G37" s="13" t="s">
        <v>128</v>
      </c>
      <c r="H37" s="27"/>
      <c r="I37" s="74"/>
      <c r="J37" s="28"/>
      <c r="K37" s="28">
        <f>141.1+12.6+16.1</f>
        <v>169.79999999999998</v>
      </c>
      <c r="L37" s="113"/>
      <c r="M37" s="28"/>
      <c r="N37" s="28"/>
      <c r="O37" s="26">
        <f t="shared" si="2"/>
        <v>169.79999999999998</v>
      </c>
      <c r="P37" s="28"/>
      <c r="Q37" s="28"/>
      <c r="R37" s="26">
        <f t="shared" si="3"/>
        <v>169.79999999999998</v>
      </c>
      <c r="S37" s="12"/>
    </row>
    <row r="38" spans="1:19" s="9" customFormat="1" ht="12" hidden="1" x14ac:dyDescent="0.2">
      <c r="A38" s="7" t="s">
        <v>389</v>
      </c>
      <c r="B38" s="8" t="s">
        <v>34</v>
      </c>
      <c r="C38" s="8" t="s">
        <v>476</v>
      </c>
      <c r="D38" s="8" t="s">
        <v>465</v>
      </c>
      <c r="E38" s="55">
        <v>42821</v>
      </c>
      <c r="F38" s="55">
        <v>42823</v>
      </c>
      <c r="G38" s="10" t="s">
        <v>18</v>
      </c>
      <c r="H38" s="27"/>
      <c r="I38" s="74"/>
      <c r="J38" s="28"/>
      <c r="K38" s="28">
        <v>38</v>
      </c>
      <c r="L38" s="113"/>
      <c r="M38" s="28"/>
      <c r="N38" s="28"/>
      <c r="O38" s="26">
        <f t="shared" si="2"/>
        <v>38</v>
      </c>
      <c r="P38" s="28"/>
      <c r="Q38" s="28"/>
      <c r="R38" s="26">
        <f t="shared" si="3"/>
        <v>38</v>
      </c>
      <c r="S38" s="12"/>
    </row>
    <row r="39" spans="1:19" s="9" customFormat="1" ht="12" hidden="1" x14ac:dyDescent="0.2">
      <c r="A39" s="7" t="s">
        <v>389</v>
      </c>
      <c r="B39" s="8" t="s">
        <v>34</v>
      </c>
      <c r="C39" s="8" t="s">
        <v>288</v>
      </c>
      <c r="D39" s="8" t="s">
        <v>464</v>
      </c>
      <c r="E39" s="55">
        <v>42875</v>
      </c>
      <c r="F39" s="55">
        <v>42880</v>
      </c>
      <c r="G39" s="13" t="s">
        <v>490</v>
      </c>
      <c r="H39" s="27"/>
      <c r="I39" s="74"/>
      <c r="J39" s="28">
        <v>253.12</v>
      </c>
      <c r="K39" s="28"/>
      <c r="L39" s="113"/>
      <c r="M39" s="28"/>
      <c r="N39" s="28"/>
      <c r="O39" s="26">
        <f t="shared" si="2"/>
        <v>253.12</v>
      </c>
      <c r="P39" s="28"/>
      <c r="Q39" s="28"/>
      <c r="R39" s="26">
        <f t="shared" si="3"/>
        <v>253.12</v>
      </c>
      <c r="S39" s="12"/>
    </row>
    <row r="40" spans="1:19" s="9" customFormat="1" ht="24" hidden="1" x14ac:dyDescent="0.2">
      <c r="A40" s="10" t="s">
        <v>31</v>
      </c>
      <c r="B40" s="13" t="s">
        <v>414</v>
      </c>
      <c r="C40" s="11" t="s">
        <v>107</v>
      </c>
      <c r="D40" s="8" t="s">
        <v>444</v>
      </c>
      <c r="E40" s="55">
        <v>42713</v>
      </c>
      <c r="F40" s="55">
        <v>42713</v>
      </c>
      <c r="G40" s="10" t="s">
        <v>18</v>
      </c>
      <c r="H40" s="27"/>
      <c r="I40" s="74"/>
      <c r="J40" s="28"/>
      <c r="K40" s="28">
        <v>17.489999999999998</v>
      </c>
      <c r="L40" s="113"/>
      <c r="M40" s="28"/>
      <c r="N40" s="28"/>
      <c r="O40" s="26">
        <f t="shared" si="2"/>
        <v>17.489999999999998</v>
      </c>
      <c r="P40" s="28"/>
      <c r="Q40" s="28"/>
      <c r="R40" s="26">
        <f t="shared" si="3"/>
        <v>17.489999999999998</v>
      </c>
      <c r="S40" s="12"/>
    </row>
    <row r="41" spans="1:19" s="9" customFormat="1" ht="24" hidden="1" x14ac:dyDescent="0.2">
      <c r="A41" s="10" t="s">
        <v>31</v>
      </c>
      <c r="B41" s="13" t="s">
        <v>414</v>
      </c>
      <c r="C41" s="8" t="s">
        <v>298</v>
      </c>
      <c r="D41" s="8" t="s">
        <v>423</v>
      </c>
      <c r="E41" s="55">
        <v>42751</v>
      </c>
      <c r="F41" s="55">
        <v>42752</v>
      </c>
      <c r="G41" s="10" t="s">
        <v>496</v>
      </c>
      <c r="H41" s="27"/>
      <c r="I41" s="74"/>
      <c r="J41" s="28"/>
      <c r="K41" s="28"/>
      <c r="L41" s="113">
        <v>149</v>
      </c>
      <c r="M41" s="28"/>
      <c r="N41" s="28"/>
      <c r="O41" s="26">
        <f t="shared" si="2"/>
        <v>149</v>
      </c>
      <c r="P41" s="28"/>
      <c r="Q41" s="28"/>
      <c r="R41" s="26">
        <f t="shared" si="3"/>
        <v>149</v>
      </c>
      <c r="S41" s="12"/>
    </row>
    <row r="42" spans="1:19" s="9" customFormat="1" ht="24" hidden="1" x14ac:dyDescent="0.2">
      <c r="A42" s="10" t="s">
        <v>31</v>
      </c>
      <c r="B42" s="13" t="s">
        <v>414</v>
      </c>
      <c r="C42" s="8" t="s">
        <v>476</v>
      </c>
      <c r="D42" s="8" t="s">
        <v>445</v>
      </c>
      <c r="E42" s="55">
        <v>42755</v>
      </c>
      <c r="F42" s="55">
        <v>42755</v>
      </c>
      <c r="G42" s="10" t="s">
        <v>18</v>
      </c>
      <c r="H42" s="27"/>
      <c r="I42" s="74"/>
      <c r="J42" s="28"/>
      <c r="K42" s="28">
        <v>23.86</v>
      </c>
      <c r="L42" s="113"/>
      <c r="M42" s="28"/>
      <c r="N42" s="28"/>
      <c r="O42" s="26">
        <f t="shared" si="2"/>
        <v>23.86</v>
      </c>
      <c r="P42" s="28"/>
      <c r="Q42" s="28"/>
      <c r="R42" s="26">
        <f t="shared" si="3"/>
        <v>23.86</v>
      </c>
      <c r="S42" s="12"/>
    </row>
    <row r="43" spans="1:19" s="9" customFormat="1" ht="24" hidden="1" x14ac:dyDescent="0.2">
      <c r="A43" s="10" t="s">
        <v>31</v>
      </c>
      <c r="B43" s="13" t="s">
        <v>414</v>
      </c>
      <c r="C43" s="8" t="s">
        <v>201</v>
      </c>
      <c r="D43" s="8" t="s">
        <v>489</v>
      </c>
      <c r="E43" s="55">
        <v>42766</v>
      </c>
      <c r="F43" s="55">
        <v>42766</v>
      </c>
      <c r="G43" s="10" t="s">
        <v>18</v>
      </c>
      <c r="H43" s="31" t="s">
        <v>488</v>
      </c>
      <c r="I43" s="74"/>
      <c r="J43" s="28"/>
      <c r="K43" s="113"/>
      <c r="L43" s="113"/>
      <c r="M43" s="28"/>
      <c r="N43" s="28"/>
      <c r="O43" s="26">
        <f t="shared" si="2"/>
        <v>0</v>
      </c>
      <c r="P43" s="28"/>
      <c r="Q43" s="28">
        <v>22.12</v>
      </c>
      <c r="R43" s="26">
        <f t="shared" si="3"/>
        <v>22.12</v>
      </c>
      <c r="S43" s="12"/>
    </row>
    <row r="44" spans="1:19" s="9" customFormat="1" ht="24" hidden="1" x14ac:dyDescent="0.2">
      <c r="A44" s="10" t="s">
        <v>31</v>
      </c>
      <c r="B44" s="13" t="s">
        <v>414</v>
      </c>
      <c r="C44" s="8" t="s">
        <v>189</v>
      </c>
      <c r="D44" s="8" t="s">
        <v>416</v>
      </c>
      <c r="E44" s="55">
        <v>42773</v>
      </c>
      <c r="F44" s="55">
        <v>42776</v>
      </c>
      <c r="G44" s="13" t="s">
        <v>499</v>
      </c>
      <c r="H44" s="31"/>
      <c r="I44" s="74"/>
      <c r="J44" s="28"/>
      <c r="K44" s="113">
        <f>28.5+32.86+142.89+14.64+10.02+9.96</f>
        <v>238.87</v>
      </c>
      <c r="L44" s="113">
        <f>648.29+327.54</f>
        <v>975.82999999999993</v>
      </c>
      <c r="M44" s="28"/>
      <c r="N44" s="28"/>
      <c r="O44" s="26">
        <f t="shared" si="2"/>
        <v>1214.6999999999998</v>
      </c>
      <c r="P44" s="28"/>
      <c r="Q44" s="28"/>
      <c r="R44" s="26">
        <f t="shared" si="3"/>
        <v>1214.6999999999998</v>
      </c>
      <c r="S44" s="12"/>
    </row>
    <row r="45" spans="1:19" s="9" customFormat="1" ht="24" hidden="1" x14ac:dyDescent="0.2">
      <c r="A45" s="10" t="s">
        <v>31</v>
      </c>
      <c r="B45" s="13" t="s">
        <v>414</v>
      </c>
      <c r="C45" s="8" t="s">
        <v>288</v>
      </c>
      <c r="D45" s="8" t="s">
        <v>447</v>
      </c>
      <c r="E45" s="55">
        <v>42822</v>
      </c>
      <c r="F45" s="55">
        <v>42823</v>
      </c>
      <c r="G45" s="13" t="s">
        <v>47</v>
      </c>
      <c r="H45" s="27"/>
      <c r="I45" s="74"/>
      <c r="J45" s="28">
        <v>215.25</v>
      </c>
      <c r="K45" s="28">
        <f>44.25+34.5+34.21</f>
        <v>112.96000000000001</v>
      </c>
      <c r="L45" s="113">
        <f>129+84.75+84.75</f>
        <v>298.5</v>
      </c>
      <c r="M45" s="28"/>
      <c r="N45" s="28"/>
      <c r="O45" s="26">
        <f t="shared" si="2"/>
        <v>626.71</v>
      </c>
      <c r="P45" s="28"/>
      <c r="Q45" s="28"/>
      <c r="R45" s="26">
        <f t="shared" si="3"/>
        <v>626.71</v>
      </c>
      <c r="S45" s="12"/>
    </row>
    <row r="46" spans="1:19" s="9" customFormat="1" ht="24" hidden="1" x14ac:dyDescent="0.2">
      <c r="A46" s="10" t="s">
        <v>31</v>
      </c>
      <c r="B46" s="13" t="s">
        <v>414</v>
      </c>
      <c r="C46" s="8" t="s">
        <v>188</v>
      </c>
      <c r="D46" s="8" t="s">
        <v>446</v>
      </c>
      <c r="E46" s="55">
        <v>42829</v>
      </c>
      <c r="F46" s="55">
        <v>42832</v>
      </c>
      <c r="G46" s="13" t="s">
        <v>490</v>
      </c>
      <c r="H46" s="27"/>
      <c r="I46" s="74"/>
      <c r="J46" s="28"/>
      <c r="K46" s="28"/>
      <c r="L46" s="113">
        <v>1247.4000000000001</v>
      </c>
      <c r="M46" s="28"/>
      <c r="N46" s="28"/>
      <c r="O46" s="26">
        <f t="shared" si="2"/>
        <v>1247.4000000000001</v>
      </c>
      <c r="P46" s="28"/>
      <c r="Q46" s="28"/>
      <c r="R46" s="26">
        <f t="shared" si="3"/>
        <v>1247.4000000000001</v>
      </c>
      <c r="S46" s="12"/>
    </row>
    <row r="47" spans="1:19" s="9" customFormat="1" ht="24" hidden="1" x14ac:dyDescent="0.2">
      <c r="A47" s="10" t="s">
        <v>31</v>
      </c>
      <c r="B47" s="13" t="s">
        <v>414</v>
      </c>
      <c r="C47" s="8" t="s">
        <v>288</v>
      </c>
      <c r="D47" s="55" t="s">
        <v>448</v>
      </c>
      <c r="E47" s="55">
        <v>42865</v>
      </c>
      <c r="F47" s="55">
        <v>42867</v>
      </c>
      <c r="G47" s="13" t="s">
        <v>47</v>
      </c>
      <c r="H47" s="27"/>
      <c r="I47" s="74"/>
      <c r="J47" s="28">
        <f>210.24+215.24</f>
        <v>425.48</v>
      </c>
      <c r="K47" s="28"/>
      <c r="L47" s="113"/>
      <c r="M47" s="28"/>
      <c r="N47" s="28"/>
      <c r="O47" s="26">
        <f t="shared" si="2"/>
        <v>425.48</v>
      </c>
      <c r="P47" s="28"/>
      <c r="Q47" s="28"/>
      <c r="R47" s="26">
        <f t="shared" si="3"/>
        <v>425.48</v>
      </c>
      <c r="S47" s="12"/>
    </row>
    <row r="48" spans="1:19" s="9" customFormat="1" ht="24" hidden="1" x14ac:dyDescent="0.2">
      <c r="A48" s="10" t="s">
        <v>31</v>
      </c>
      <c r="B48" s="13" t="s">
        <v>414</v>
      </c>
      <c r="C48" s="8" t="s">
        <v>288</v>
      </c>
      <c r="D48" s="8" t="s">
        <v>495</v>
      </c>
      <c r="E48" s="55">
        <v>43045</v>
      </c>
      <c r="F48" s="55">
        <v>43050</v>
      </c>
      <c r="G48" s="13" t="s">
        <v>500</v>
      </c>
      <c r="H48" s="27"/>
      <c r="I48" s="74"/>
      <c r="J48" s="28">
        <f>817.51+30</f>
        <v>847.51</v>
      </c>
      <c r="K48" s="28"/>
      <c r="L48" s="113"/>
      <c r="M48" s="28"/>
      <c r="N48" s="28"/>
      <c r="O48" s="26">
        <f t="shared" si="2"/>
        <v>847.51</v>
      </c>
      <c r="P48" s="28"/>
      <c r="Q48" s="28"/>
      <c r="R48" s="26">
        <f t="shared" si="3"/>
        <v>847.51</v>
      </c>
      <c r="S48" s="12"/>
    </row>
    <row r="49" spans="1:19" s="9" customFormat="1" ht="24" x14ac:dyDescent="0.2">
      <c r="A49" s="10" t="s">
        <v>432</v>
      </c>
      <c r="B49" s="13" t="s">
        <v>25</v>
      </c>
      <c r="C49" s="11" t="s">
        <v>479</v>
      </c>
      <c r="D49" s="8" t="s">
        <v>433</v>
      </c>
      <c r="E49" s="55">
        <v>42794</v>
      </c>
      <c r="F49" s="55">
        <v>42794</v>
      </c>
      <c r="G49" s="10" t="s">
        <v>18</v>
      </c>
      <c r="H49" s="27"/>
      <c r="I49" s="74"/>
      <c r="J49" s="28">
        <v>143.19999999999999</v>
      </c>
      <c r="K49" s="28">
        <v>42.97</v>
      </c>
      <c r="L49" s="113"/>
      <c r="M49" s="28"/>
      <c r="N49" s="28"/>
      <c r="O49" s="26">
        <f t="shared" si="2"/>
        <v>186.17</v>
      </c>
      <c r="P49" s="28"/>
      <c r="Q49" s="28"/>
      <c r="R49" s="26">
        <f t="shared" si="3"/>
        <v>186.17</v>
      </c>
      <c r="S49" s="12"/>
    </row>
    <row r="50" spans="1:19" s="9" customFormat="1" ht="24" x14ac:dyDescent="0.2">
      <c r="A50" s="10" t="s">
        <v>432</v>
      </c>
      <c r="B50" s="13" t="s">
        <v>25</v>
      </c>
      <c r="C50" s="11" t="s">
        <v>55</v>
      </c>
      <c r="D50" s="8" t="s">
        <v>434</v>
      </c>
      <c r="E50" s="55">
        <v>42823</v>
      </c>
      <c r="F50" s="55">
        <v>42824</v>
      </c>
      <c r="G50" s="10" t="s">
        <v>18</v>
      </c>
      <c r="H50" s="27"/>
      <c r="I50" s="74"/>
      <c r="J50" s="28">
        <v>570.24</v>
      </c>
      <c r="K50" s="28">
        <v>39.5</v>
      </c>
      <c r="L50" s="113">
        <v>152.96</v>
      </c>
      <c r="M50" s="28"/>
      <c r="N50" s="28"/>
      <c r="O50" s="26">
        <f t="shared" si="2"/>
        <v>762.7</v>
      </c>
      <c r="P50" s="28"/>
      <c r="Q50" s="28"/>
      <c r="R50" s="26">
        <f t="shared" si="3"/>
        <v>762.7</v>
      </c>
      <c r="S50" s="12"/>
    </row>
    <row r="51" spans="1:19" s="9" customFormat="1" ht="12" hidden="1" customHeight="1" x14ac:dyDescent="0.2">
      <c r="A51" s="7" t="s">
        <v>374</v>
      </c>
      <c r="B51" s="14" t="s">
        <v>403</v>
      </c>
      <c r="C51" s="8" t="s">
        <v>298</v>
      </c>
      <c r="D51" s="8" t="s">
        <v>423</v>
      </c>
      <c r="E51" s="55">
        <v>42751</v>
      </c>
      <c r="F51" s="55">
        <v>42752</v>
      </c>
      <c r="G51" s="10" t="s">
        <v>496</v>
      </c>
      <c r="H51" s="52"/>
      <c r="I51" s="74"/>
      <c r="J51" s="46"/>
      <c r="K51" s="28"/>
      <c r="L51" s="113">
        <v>149</v>
      </c>
      <c r="M51" s="28"/>
      <c r="N51" s="28"/>
      <c r="O51" s="26">
        <f t="shared" si="2"/>
        <v>149</v>
      </c>
      <c r="P51" s="28"/>
      <c r="Q51" s="28"/>
      <c r="R51" s="26">
        <f t="shared" si="3"/>
        <v>149</v>
      </c>
    </row>
    <row r="52" spans="1:19" s="9" customFormat="1" ht="36" hidden="1" x14ac:dyDescent="0.2">
      <c r="A52" s="7" t="s">
        <v>374</v>
      </c>
      <c r="B52" s="14" t="s">
        <v>403</v>
      </c>
      <c r="C52" s="8" t="s">
        <v>409</v>
      </c>
      <c r="D52" s="8" t="s">
        <v>477</v>
      </c>
      <c r="E52" s="55">
        <v>42788</v>
      </c>
      <c r="F52" s="55">
        <v>42789</v>
      </c>
      <c r="G52" s="13" t="s">
        <v>494</v>
      </c>
      <c r="H52" s="52"/>
      <c r="I52" s="74"/>
      <c r="J52" s="46"/>
      <c r="K52" s="28">
        <f>155.98+27.86+55.32</f>
        <v>239.15999999999997</v>
      </c>
      <c r="L52" s="113">
        <v>123</v>
      </c>
      <c r="M52" s="28">
        <v>61.94</v>
      </c>
      <c r="N52" s="28"/>
      <c r="O52" s="26">
        <f t="shared" si="2"/>
        <v>424.09999999999997</v>
      </c>
      <c r="P52" s="28"/>
      <c r="Q52" s="28"/>
      <c r="R52" s="26">
        <f t="shared" si="3"/>
        <v>424.09999999999997</v>
      </c>
    </row>
    <row r="53" spans="1:19" s="9" customFormat="1" ht="12" x14ac:dyDescent="0.2">
      <c r="A53" s="10" t="s">
        <v>126</v>
      </c>
      <c r="B53" s="10" t="s">
        <v>25</v>
      </c>
      <c r="C53" s="11" t="s">
        <v>55</v>
      </c>
      <c r="D53" s="20" t="s">
        <v>439</v>
      </c>
      <c r="E53" s="55">
        <v>42823</v>
      </c>
      <c r="F53" s="55">
        <v>42824</v>
      </c>
      <c r="G53" s="10" t="s">
        <v>18</v>
      </c>
      <c r="H53" s="27"/>
      <c r="I53" s="74"/>
      <c r="J53" s="27"/>
      <c r="K53" s="28"/>
      <c r="L53" s="113">
        <v>152.96</v>
      </c>
      <c r="M53" s="27"/>
      <c r="N53" s="27"/>
      <c r="O53" s="26">
        <f t="shared" si="2"/>
        <v>152.96</v>
      </c>
      <c r="P53" s="27"/>
      <c r="Q53" s="27"/>
      <c r="R53" s="26">
        <f t="shared" si="3"/>
        <v>152.96</v>
      </c>
      <c r="S53" s="87"/>
    </row>
    <row r="54" spans="1:19" s="9" customFormat="1" ht="12" x14ac:dyDescent="0.2">
      <c r="A54" s="10" t="s">
        <v>50</v>
      </c>
      <c r="B54" s="18" t="s">
        <v>25</v>
      </c>
      <c r="C54" s="11" t="s">
        <v>55</v>
      </c>
      <c r="D54" s="20" t="s">
        <v>439</v>
      </c>
      <c r="E54" s="55">
        <v>42823</v>
      </c>
      <c r="F54" s="55">
        <v>42824</v>
      </c>
      <c r="G54" s="10" t="s">
        <v>18</v>
      </c>
      <c r="H54" s="27"/>
      <c r="I54" s="74"/>
      <c r="J54" s="27"/>
      <c r="K54" s="28">
        <v>35</v>
      </c>
      <c r="L54" s="113">
        <v>157.51</v>
      </c>
      <c r="M54" s="27"/>
      <c r="N54" s="27"/>
      <c r="O54" s="26">
        <f t="shared" si="2"/>
        <v>192.51</v>
      </c>
      <c r="P54" s="27"/>
      <c r="Q54" s="27"/>
      <c r="R54" s="26">
        <f t="shared" si="3"/>
        <v>192.51</v>
      </c>
      <c r="S54" s="87"/>
    </row>
    <row r="55" spans="1:19" s="9" customFormat="1" ht="12" hidden="1" x14ac:dyDescent="0.2">
      <c r="A55" s="10" t="s">
        <v>372</v>
      </c>
      <c r="B55" s="37" t="s">
        <v>390</v>
      </c>
      <c r="C55" s="8" t="s">
        <v>298</v>
      </c>
      <c r="D55" s="8" t="s">
        <v>423</v>
      </c>
      <c r="E55" s="55">
        <v>42751</v>
      </c>
      <c r="F55" s="55">
        <v>42752</v>
      </c>
      <c r="G55" s="10" t="s">
        <v>496</v>
      </c>
      <c r="H55" s="27"/>
      <c r="I55" s="74"/>
      <c r="J55" s="27"/>
      <c r="K55" s="28">
        <v>62</v>
      </c>
      <c r="L55" s="113">
        <v>149</v>
      </c>
      <c r="M55" s="27"/>
      <c r="N55" s="27"/>
      <c r="O55" s="26">
        <f t="shared" si="2"/>
        <v>211</v>
      </c>
      <c r="P55" s="27"/>
      <c r="Q55" s="27"/>
      <c r="R55" s="26">
        <f t="shared" si="3"/>
        <v>211</v>
      </c>
      <c r="S55" s="87"/>
    </row>
    <row r="56" spans="1:19" s="9" customFormat="1" ht="24" hidden="1" x14ac:dyDescent="0.2">
      <c r="A56" s="10" t="s">
        <v>372</v>
      </c>
      <c r="B56" s="37" t="s">
        <v>487</v>
      </c>
      <c r="C56" s="8" t="s">
        <v>157</v>
      </c>
      <c r="D56" s="8" t="s">
        <v>443</v>
      </c>
      <c r="E56" s="55">
        <v>42844</v>
      </c>
      <c r="F56" s="55">
        <v>42847</v>
      </c>
      <c r="G56" s="13" t="s">
        <v>493</v>
      </c>
      <c r="H56" s="27"/>
      <c r="I56" s="74"/>
      <c r="J56" s="27">
        <f>540.55+40</f>
        <v>580.54999999999995</v>
      </c>
      <c r="K56" s="28"/>
      <c r="L56" s="113"/>
      <c r="M56" s="27"/>
      <c r="N56" s="27"/>
      <c r="O56" s="26">
        <f t="shared" si="2"/>
        <v>580.54999999999995</v>
      </c>
      <c r="P56" s="27"/>
      <c r="Q56" s="27"/>
      <c r="R56" s="26">
        <f t="shared" si="3"/>
        <v>580.54999999999995</v>
      </c>
      <c r="S56" s="87"/>
    </row>
    <row r="57" spans="1:19" s="9" customFormat="1" ht="12" x14ac:dyDescent="0.2">
      <c r="A57" s="10" t="s">
        <v>431</v>
      </c>
      <c r="B57" s="18" t="s">
        <v>25</v>
      </c>
      <c r="C57" s="11" t="s">
        <v>479</v>
      </c>
      <c r="D57" s="8" t="s">
        <v>478</v>
      </c>
      <c r="E57" s="55">
        <v>42796</v>
      </c>
      <c r="F57" s="55">
        <v>42796</v>
      </c>
      <c r="G57" s="10" t="s">
        <v>18</v>
      </c>
      <c r="H57" s="27"/>
      <c r="I57" s="74"/>
      <c r="J57" s="28">
        <f>336.12+141.12+20</f>
        <v>497.24</v>
      </c>
      <c r="K57" s="28"/>
      <c r="L57" s="113"/>
      <c r="M57" s="28"/>
      <c r="N57" s="28"/>
      <c r="O57" s="26">
        <f t="shared" si="2"/>
        <v>497.24</v>
      </c>
      <c r="P57" s="28"/>
      <c r="Q57" s="28"/>
      <c r="R57" s="26">
        <f t="shared" si="3"/>
        <v>497.24</v>
      </c>
      <c r="S57" s="12"/>
    </row>
    <row r="58" spans="1:19" s="9" customFormat="1" ht="12" x14ac:dyDescent="0.2">
      <c r="A58" s="10" t="s">
        <v>431</v>
      </c>
      <c r="B58" s="18" t="s">
        <v>25</v>
      </c>
      <c r="C58" s="11" t="s">
        <v>55</v>
      </c>
      <c r="D58" s="8" t="s">
        <v>438</v>
      </c>
      <c r="E58" s="55">
        <v>42820</v>
      </c>
      <c r="F58" s="55">
        <v>42824</v>
      </c>
      <c r="G58" s="10" t="s">
        <v>18</v>
      </c>
      <c r="H58" s="27"/>
      <c r="I58" s="74"/>
      <c r="J58" s="28">
        <f>157.62+119.62</f>
        <v>277.24</v>
      </c>
      <c r="K58" s="28"/>
      <c r="L58" s="113"/>
      <c r="M58" s="28"/>
      <c r="N58" s="28"/>
      <c r="O58" s="26">
        <f t="shared" si="2"/>
        <v>277.24</v>
      </c>
      <c r="P58" s="28"/>
      <c r="Q58" s="28"/>
      <c r="R58" s="26">
        <f t="shared" si="3"/>
        <v>277.24</v>
      </c>
      <c r="S58" s="12"/>
    </row>
    <row r="59" spans="1:19" s="9" customFormat="1" ht="12" hidden="1" x14ac:dyDescent="0.2">
      <c r="A59" s="7" t="s">
        <v>133</v>
      </c>
      <c r="B59" s="14" t="s">
        <v>404</v>
      </c>
      <c r="C59" s="8" t="s">
        <v>186</v>
      </c>
      <c r="D59" s="8" t="s">
        <v>377</v>
      </c>
      <c r="E59" s="55">
        <v>42688</v>
      </c>
      <c r="F59" s="55">
        <v>42691</v>
      </c>
      <c r="G59" s="10" t="s">
        <v>378</v>
      </c>
      <c r="H59" s="27"/>
      <c r="I59" s="74"/>
      <c r="J59" s="28"/>
      <c r="K59" s="28">
        <v>55.2</v>
      </c>
      <c r="L59" s="113">
        <v>1103.18</v>
      </c>
      <c r="M59" s="28">
        <f>12.2+8.93+83.45+55.2</f>
        <v>159.78</v>
      </c>
      <c r="N59" s="28"/>
      <c r="O59" s="26">
        <f t="shared" si="2"/>
        <v>1318.16</v>
      </c>
      <c r="P59" s="28"/>
      <c r="Q59" s="28"/>
      <c r="R59" s="26">
        <f t="shared" si="3"/>
        <v>1318.16</v>
      </c>
      <c r="S59" s="12"/>
    </row>
    <row r="60" spans="1:19" s="9" customFormat="1" ht="12" hidden="1" x14ac:dyDescent="0.2">
      <c r="A60" s="7" t="s">
        <v>133</v>
      </c>
      <c r="B60" s="14" t="s">
        <v>404</v>
      </c>
      <c r="C60" s="8" t="s">
        <v>298</v>
      </c>
      <c r="D60" s="8"/>
      <c r="E60" s="55">
        <v>42711</v>
      </c>
      <c r="F60" s="55">
        <v>42711</v>
      </c>
      <c r="G60" s="10" t="s">
        <v>18</v>
      </c>
      <c r="H60" s="27"/>
      <c r="I60" s="74"/>
      <c r="J60" s="28"/>
      <c r="K60" s="28">
        <v>17.7</v>
      </c>
      <c r="L60" s="113"/>
      <c r="M60" s="28"/>
      <c r="N60" s="28"/>
      <c r="O60" s="26">
        <f t="shared" si="2"/>
        <v>17.7</v>
      </c>
      <c r="P60" s="28"/>
      <c r="Q60" s="28"/>
      <c r="R60" s="26">
        <f t="shared" si="3"/>
        <v>17.7</v>
      </c>
      <c r="S60" s="12"/>
    </row>
    <row r="61" spans="1:19" s="9" customFormat="1" ht="12" x14ac:dyDescent="0.2">
      <c r="A61" s="7" t="s">
        <v>435</v>
      </c>
      <c r="B61" s="8" t="s">
        <v>25</v>
      </c>
      <c r="C61" s="11" t="s">
        <v>55</v>
      </c>
      <c r="D61" s="8" t="s">
        <v>436</v>
      </c>
      <c r="E61" s="55">
        <v>42641</v>
      </c>
      <c r="F61" s="55">
        <v>42642</v>
      </c>
      <c r="G61" s="13" t="s">
        <v>99</v>
      </c>
      <c r="H61" s="27"/>
      <c r="I61" s="74"/>
      <c r="J61" s="27">
        <f>360.62+344.12</f>
        <v>704.74</v>
      </c>
      <c r="K61" s="28"/>
      <c r="L61" s="113"/>
      <c r="M61" s="27"/>
      <c r="N61" s="27"/>
      <c r="O61" s="26">
        <f t="shared" ref="O61:O68" si="4">SUM(J61:N61)</f>
        <v>704.74</v>
      </c>
      <c r="P61" s="27"/>
      <c r="Q61" s="27"/>
      <c r="R61" s="26">
        <f t="shared" ref="R61:R68" si="5">SUM(O61:Q61)</f>
        <v>704.74</v>
      </c>
      <c r="S61" s="87"/>
    </row>
    <row r="62" spans="1:19" s="9" customFormat="1" ht="12" x14ac:dyDescent="0.2">
      <c r="A62" s="10" t="s">
        <v>209</v>
      </c>
      <c r="B62" s="18" t="s">
        <v>25</v>
      </c>
      <c r="C62" s="11" t="s">
        <v>55</v>
      </c>
      <c r="D62" s="20" t="s">
        <v>437</v>
      </c>
      <c r="E62" s="55">
        <v>42823</v>
      </c>
      <c r="F62" s="55">
        <v>42824</v>
      </c>
      <c r="G62" s="13" t="s">
        <v>47</v>
      </c>
      <c r="H62" s="27"/>
      <c r="I62" s="74"/>
      <c r="J62" s="27">
        <v>216.25</v>
      </c>
      <c r="K62" s="28"/>
      <c r="L62" s="114">
        <v>152.96</v>
      </c>
      <c r="M62" s="27"/>
      <c r="N62" s="27"/>
      <c r="O62" s="26">
        <f t="shared" si="4"/>
        <v>369.21000000000004</v>
      </c>
      <c r="P62" s="27"/>
      <c r="Q62" s="27"/>
      <c r="R62" s="26">
        <f t="shared" si="5"/>
        <v>369.21000000000004</v>
      </c>
      <c r="S62" s="87"/>
    </row>
    <row r="63" spans="1:19" s="9" customFormat="1" ht="12" hidden="1" x14ac:dyDescent="0.2">
      <c r="A63" s="10" t="s">
        <v>38</v>
      </c>
      <c r="B63" s="13" t="s">
        <v>167</v>
      </c>
      <c r="C63" s="8" t="s">
        <v>188</v>
      </c>
      <c r="D63" s="13" t="s">
        <v>405</v>
      </c>
      <c r="E63" s="55">
        <v>42691</v>
      </c>
      <c r="F63" s="55">
        <v>42693</v>
      </c>
      <c r="G63" s="13" t="s">
        <v>47</v>
      </c>
      <c r="H63" s="27"/>
      <c r="I63" s="74"/>
      <c r="J63" s="27"/>
      <c r="K63" s="28">
        <f>17.03+18.11+14.64</f>
        <v>49.78</v>
      </c>
      <c r="L63" s="113">
        <v>385.22</v>
      </c>
      <c r="M63" s="28">
        <v>3.78</v>
      </c>
      <c r="N63" s="27"/>
      <c r="O63" s="26">
        <f t="shared" si="4"/>
        <v>438.78</v>
      </c>
      <c r="P63" s="27"/>
      <c r="Q63" s="27"/>
      <c r="R63" s="26">
        <f t="shared" si="5"/>
        <v>438.78</v>
      </c>
      <c r="S63" s="87"/>
    </row>
    <row r="64" spans="1:19" s="9" customFormat="1" ht="12" hidden="1" x14ac:dyDescent="0.2">
      <c r="A64" s="10" t="s">
        <v>38</v>
      </c>
      <c r="B64" s="13" t="s">
        <v>167</v>
      </c>
      <c r="C64" s="11" t="s">
        <v>240</v>
      </c>
      <c r="D64" s="8" t="s">
        <v>424</v>
      </c>
      <c r="E64" s="55">
        <v>42698</v>
      </c>
      <c r="F64" s="55">
        <v>42698</v>
      </c>
      <c r="G64" s="10" t="s">
        <v>18</v>
      </c>
      <c r="H64" s="27"/>
      <c r="I64" s="74"/>
      <c r="J64" s="28"/>
      <c r="K64" s="28">
        <v>22.12</v>
      </c>
      <c r="L64" s="113"/>
      <c r="M64" s="28"/>
      <c r="N64" s="28"/>
      <c r="O64" s="26">
        <f t="shared" si="4"/>
        <v>22.12</v>
      </c>
      <c r="P64" s="28"/>
      <c r="Q64" s="28"/>
      <c r="R64" s="26">
        <f t="shared" si="5"/>
        <v>22.12</v>
      </c>
      <c r="S64" s="12"/>
    </row>
    <row r="65" spans="1:19" s="9" customFormat="1" ht="12" hidden="1" x14ac:dyDescent="0.2">
      <c r="A65" s="10" t="s">
        <v>38</v>
      </c>
      <c r="B65" s="13" t="s">
        <v>167</v>
      </c>
      <c r="C65" s="11" t="s">
        <v>502</v>
      </c>
      <c r="D65" s="8" t="s">
        <v>503</v>
      </c>
      <c r="E65" s="58">
        <v>42718</v>
      </c>
      <c r="F65" s="58">
        <v>42718</v>
      </c>
      <c r="G65" s="10" t="s">
        <v>18</v>
      </c>
      <c r="H65" s="37"/>
      <c r="I65" s="37"/>
      <c r="J65" s="46"/>
      <c r="K65" s="51">
        <f>7+17.7</f>
        <v>24.7</v>
      </c>
      <c r="L65" s="114"/>
      <c r="M65" s="46"/>
      <c r="N65" s="48"/>
      <c r="O65" s="26">
        <f t="shared" si="4"/>
        <v>24.7</v>
      </c>
      <c r="P65" s="48"/>
      <c r="Q65" s="48"/>
      <c r="R65" s="26">
        <f t="shared" si="5"/>
        <v>24.7</v>
      </c>
      <c r="S65" s="118"/>
    </row>
    <row r="66" spans="1:19" s="9" customFormat="1" ht="12" hidden="1" x14ac:dyDescent="0.2">
      <c r="A66" s="10" t="s">
        <v>38</v>
      </c>
      <c r="B66" s="13" t="s">
        <v>167</v>
      </c>
      <c r="C66" s="8" t="s">
        <v>298</v>
      </c>
      <c r="D66" s="8" t="s">
        <v>423</v>
      </c>
      <c r="E66" s="55">
        <v>42751</v>
      </c>
      <c r="F66" s="55">
        <v>42752</v>
      </c>
      <c r="G66" s="10" t="s">
        <v>496</v>
      </c>
      <c r="H66" s="27"/>
      <c r="I66" s="74"/>
      <c r="J66" s="27"/>
      <c r="K66" s="51">
        <v>64</v>
      </c>
      <c r="L66" s="113">
        <v>149</v>
      </c>
      <c r="M66" s="27"/>
      <c r="N66" s="27"/>
      <c r="O66" s="26">
        <f t="shared" si="4"/>
        <v>213</v>
      </c>
      <c r="P66" s="27"/>
      <c r="Q66" s="27"/>
      <c r="R66" s="26">
        <f t="shared" si="5"/>
        <v>213</v>
      </c>
      <c r="S66" s="87"/>
    </row>
    <row r="67" spans="1:19" s="92" customFormat="1" ht="12" hidden="1" x14ac:dyDescent="0.2">
      <c r="A67" s="10" t="s">
        <v>38</v>
      </c>
      <c r="B67" s="13" t="s">
        <v>167</v>
      </c>
      <c r="C67" s="8" t="s">
        <v>481</v>
      </c>
      <c r="D67" s="18" t="s">
        <v>480</v>
      </c>
      <c r="E67" s="58">
        <v>42760</v>
      </c>
      <c r="F67" s="58">
        <v>42760</v>
      </c>
      <c r="G67" s="57" t="s">
        <v>492</v>
      </c>
      <c r="H67" s="37"/>
      <c r="I67" s="37"/>
      <c r="J67" s="46"/>
      <c r="K67" s="51">
        <v>24</v>
      </c>
      <c r="L67" s="114"/>
      <c r="M67" s="46"/>
      <c r="N67" s="48"/>
      <c r="O67" s="26">
        <f t="shared" si="4"/>
        <v>24</v>
      </c>
      <c r="P67" s="48"/>
      <c r="Q67" s="48"/>
      <c r="R67" s="26">
        <f t="shared" si="5"/>
        <v>24</v>
      </c>
      <c r="S67" s="118"/>
    </row>
    <row r="68" spans="1:19" s="9" customFormat="1" ht="12" hidden="1" x14ac:dyDescent="0.2">
      <c r="A68" s="10" t="s">
        <v>38</v>
      </c>
      <c r="B68" s="13" t="s">
        <v>167</v>
      </c>
      <c r="C68" s="11" t="s">
        <v>312</v>
      </c>
      <c r="D68" s="18" t="s">
        <v>482</v>
      </c>
      <c r="E68" s="58">
        <v>42766</v>
      </c>
      <c r="F68" s="58">
        <v>42766</v>
      </c>
      <c r="G68" s="57" t="s">
        <v>166</v>
      </c>
      <c r="H68" s="37"/>
      <c r="I68" s="37"/>
      <c r="J68" s="46"/>
      <c r="K68" s="51">
        <v>89.6</v>
      </c>
      <c r="L68" s="114"/>
      <c r="M68" s="46">
        <v>4.38</v>
      </c>
      <c r="N68" s="48"/>
      <c r="O68" s="26">
        <f t="shared" si="4"/>
        <v>93.97999999999999</v>
      </c>
      <c r="P68" s="48"/>
      <c r="Q68" s="48"/>
      <c r="R68" s="26">
        <f t="shared" si="5"/>
        <v>93.97999999999999</v>
      </c>
      <c r="S68" s="118"/>
    </row>
    <row r="69" spans="1:19" s="9" customFormat="1" ht="12" hidden="1" customHeight="1" x14ac:dyDescent="0.2">
      <c r="A69" s="10" t="s">
        <v>38</v>
      </c>
      <c r="B69" s="13" t="s">
        <v>167</v>
      </c>
      <c r="C69" s="11" t="s">
        <v>240</v>
      </c>
      <c r="D69" s="8" t="s">
        <v>442</v>
      </c>
      <c r="E69" s="55">
        <v>42783</v>
      </c>
      <c r="F69" s="55">
        <v>42783</v>
      </c>
      <c r="G69" s="10" t="s">
        <v>18</v>
      </c>
      <c r="H69" s="27"/>
      <c r="I69" s="74"/>
      <c r="J69" s="28"/>
      <c r="K69" s="28">
        <v>11.5</v>
      </c>
      <c r="L69" s="113"/>
      <c r="M69" s="28"/>
      <c r="N69" s="28"/>
      <c r="O69" s="26">
        <f t="shared" ref="O69:O74" si="6">SUM(J69:N69)</f>
        <v>11.5</v>
      </c>
      <c r="P69" s="28"/>
      <c r="Q69" s="28"/>
      <c r="R69" s="26">
        <f t="shared" ref="R69:R74" si="7">SUM(O69:Q69)</f>
        <v>11.5</v>
      </c>
      <c r="S69" s="12"/>
    </row>
    <row r="70" spans="1:19" s="9" customFormat="1" ht="24" hidden="1" x14ac:dyDescent="0.2">
      <c r="A70" s="10" t="s">
        <v>38</v>
      </c>
      <c r="B70" s="13" t="s">
        <v>167</v>
      </c>
      <c r="C70" s="8" t="s">
        <v>409</v>
      </c>
      <c r="D70" s="8" t="s">
        <v>483</v>
      </c>
      <c r="E70" s="55">
        <v>42787</v>
      </c>
      <c r="F70" s="55">
        <v>42787</v>
      </c>
      <c r="G70" s="13" t="s">
        <v>35</v>
      </c>
      <c r="H70" s="27"/>
      <c r="I70" s="74"/>
      <c r="J70" s="28"/>
      <c r="K70" s="28">
        <v>21.6</v>
      </c>
      <c r="L70" s="113"/>
      <c r="M70" s="28"/>
      <c r="N70" s="28"/>
      <c r="O70" s="26">
        <f t="shared" si="6"/>
        <v>21.6</v>
      </c>
      <c r="P70" s="28"/>
      <c r="Q70" s="28"/>
      <c r="R70" s="26">
        <f t="shared" si="7"/>
        <v>21.6</v>
      </c>
      <c r="S70" s="12"/>
    </row>
    <row r="71" spans="1:19" s="9" customFormat="1" ht="12" hidden="1" x14ac:dyDescent="0.2">
      <c r="A71" s="10" t="s">
        <v>38</v>
      </c>
      <c r="B71" s="13" t="s">
        <v>167</v>
      </c>
      <c r="C71" s="8" t="s">
        <v>409</v>
      </c>
      <c r="D71" s="8" t="s">
        <v>484</v>
      </c>
      <c r="E71" s="55">
        <v>42795</v>
      </c>
      <c r="F71" s="55">
        <v>42795</v>
      </c>
      <c r="G71" s="13" t="s">
        <v>491</v>
      </c>
      <c r="H71" s="27"/>
      <c r="I71" s="74"/>
      <c r="J71" s="28"/>
      <c r="K71" s="28">
        <v>100.8</v>
      </c>
      <c r="L71" s="113"/>
      <c r="M71" s="28"/>
      <c r="N71" s="28"/>
      <c r="O71" s="26">
        <f t="shared" si="6"/>
        <v>100.8</v>
      </c>
      <c r="P71" s="28"/>
      <c r="Q71" s="28"/>
      <c r="R71" s="26">
        <f t="shared" si="7"/>
        <v>100.8</v>
      </c>
      <c r="S71" s="12"/>
    </row>
    <row r="72" spans="1:19" s="9" customFormat="1" ht="24" hidden="1" x14ac:dyDescent="0.2">
      <c r="A72" s="10" t="s">
        <v>38</v>
      </c>
      <c r="B72" s="13" t="s">
        <v>167</v>
      </c>
      <c r="C72" s="8" t="s">
        <v>409</v>
      </c>
      <c r="D72" s="8" t="s">
        <v>485</v>
      </c>
      <c r="E72" s="55">
        <v>42796</v>
      </c>
      <c r="F72" s="55">
        <v>42796</v>
      </c>
      <c r="G72" s="13" t="s">
        <v>36</v>
      </c>
      <c r="H72" s="27"/>
      <c r="I72" s="74"/>
      <c r="J72" s="28"/>
      <c r="K72" s="28">
        <v>88.8</v>
      </c>
      <c r="L72" s="113"/>
      <c r="M72" s="28"/>
      <c r="N72" s="28"/>
      <c r="O72" s="26">
        <f t="shared" si="6"/>
        <v>88.8</v>
      </c>
      <c r="P72" s="28"/>
      <c r="Q72" s="28"/>
      <c r="R72" s="26">
        <f t="shared" si="7"/>
        <v>88.8</v>
      </c>
      <c r="S72" s="12"/>
    </row>
    <row r="73" spans="1:19" s="9" customFormat="1" ht="12" hidden="1" x14ac:dyDescent="0.2">
      <c r="A73" s="10" t="s">
        <v>38</v>
      </c>
      <c r="B73" s="13" t="s">
        <v>167</v>
      </c>
      <c r="C73" s="8" t="s">
        <v>409</v>
      </c>
      <c r="D73" s="8" t="s">
        <v>486</v>
      </c>
      <c r="E73" s="55">
        <v>42797</v>
      </c>
      <c r="F73" s="55">
        <v>42797</v>
      </c>
      <c r="G73" s="13" t="s">
        <v>166</v>
      </c>
      <c r="H73" s="27"/>
      <c r="I73" s="74"/>
      <c r="J73" s="28"/>
      <c r="K73" s="28">
        <v>88</v>
      </c>
      <c r="L73" s="113"/>
      <c r="M73" s="28"/>
      <c r="N73" s="28"/>
      <c r="O73" s="26">
        <f t="shared" si="6"/>
        <v>88</v>
      </c>
      <c r="P73" s="28"/>
      <c r="Q73" s="28"/>
      <c r="R73" s="26">
        <f t="shared" si="7"/>
        <v>88</v>
      </c>
      <c r="S73" s="12"/>
    </row>
    <row r="74" spans="1:19" s="9" customFormat="1" ht="12" hidden="1" x14ac:dyDescent="0.2">
      <c r="A74" s="10" t="s">
        <v>38</v>
      </c>
      <c r="B74" s="13" t="s">
        <v>167</v>
      </c>
      <c r="C74" s="8" t="s">
        <v>476</v>
      </c>
      <c r="D74" s="8" t="s">
        <v>429</v>
      </c>
      <c r="E74" s="55">
        <v>42821</v>
      </c>
      <c r="F74" s="55">
        <v>42821</v>
      </c>
      <c r="G74" s="10" t="s">
        <v>18</v>
      </c>
      <c r="H74" s="27"/>
      <c r="I74" s="74"/>
      <c r="J74" s="27"/>
      <c r="K74" s="28">
        <v>12</v>
      </c>
      <c r="L74" s="113"/>
      <c r="M74" s="28"/>
      <c r="N74" s="28"/>
      <c r="O74" s="26">
        <f t="shared" si="6"/>
        <v>12</v>
      </c>
      <c r="P74" s="28"/>
      <c r="Q74" s="28"/>
      <c r="R74" s="26">
        <f t="shared" si="7"/>
        <v>12</v>
      </c>
      <c r="S74" s="12"/>
    </row>
    <row r="75" spans="1:19" s="92" customFormat="1" ht="12" x14ac:dyDescent="0.2">
      <c r="A75" s="10" t="s">
        <v>323</v>
      </c>
      <c r="B75" s="37" t="s">
        <v>25</v>
      </c>
      <c r="C75" s="11" t="s">
        <v>55</v>
      </c>
      <c r="D75" s="20" t="s">
        <v>439</v>
      </c>
      <c r="E75" s="55">
        <v>42823</v>
      </c>
      <c r="F75" s="55">
        <v>42824</v>
      </c>
      <c r="G75" s="10" t="s">
        <v>18</v>
      </c>
      <c r="H75" s="27"/>
      <c r="I75" s="74"/>
      <c r="J75" s="27"/>
      <c r="K75" s="28"/>
      <c r="L75" s="113">
        <v>152.96</v>
      </c>
      <c r="M75" s="27"/>
      <c r="N75" s="27"/>
      <c r="O75" s="26">
        <f t="shared" ref="O75:O83" si="8">SUM(J75:N75)</f>
        <v>152.96</v>
      </c>
      <c r="P75" s="27"/>
      <c r="Q75" s="27"/>
      <c r="R75" s="26">
        <f t="shared" ref="R75:R83" si="9">SUM(O75:Q75)</f>
        <v>152.96</v>
      </c>
      <c r="S75" s="87"/>
    </row>
    <row r="76" spans="1:19" s="12" customFormat="1" ht="12" x14ac:dyDescent="0.2">
      <c r="A76" s="37" t="s">
        <v>410</v>
      </c>
      <c r="B76" s="18" t="s">
        <v>402</v>
      </c>
      <c r="C76" s="11" t="s">
        <v>55</v>
      </c>
      <c r="D76" s="20" t="s">
        <v>501</v>
      </c>
      <c r="E76" s="55">
        <v>42823</v>
      </c>
      <c r="F76" s="55">
        <v>42824</v>
      </c>
      <c r="G76" s="10" t="s">
        <v>18</v>
      </c>
      <c r="H76" s="27"/>
      <c r="I76" s="74"/>
      <c r="J76" s="27"/>
      <c r="K76" s="28">
        <v>35</v>
      </c>
      <c r="L76" s="113">
        <v>157.51</v>
      </c>
      <c r="M76" s="27"/>
      <c r="N76" s="27"/>
      <c r="O76" s="26">
        <f t="shared" si="8"/>
        <v>192.51</v>
      </c>
      <c r="P76" s="27"/>
      <c r="Q76" s="27"/>
      <c r="R76" s="26">
        <f t="shared" si="9"/>
        <v>192.51</v>
      </c>
      <c r="S76" s="87"/>
    </row>
    <row r="77" spans="1:19" s="134" customFormat="1" ht="12" hidden="1" x14ac:dyDescent="0.2">
      <c r="A77" s="10"/>
      <c r="B77" s="13"/>
      <c r="C77" s="8"/>
      <c r="D77" s="8"/>
      <c r="E77" s="55"/>
      <c r="F77" s="55"/>
      <c r="G77" s="13"/>
      <c r="H77" s="27"/>
      <c r="I77" s="74"/>
      <c r="J77" s="28"/>
      <c r="K77" s="28"/>
      <c r="L77" s="113"/>
      <c r="M77" s="28"/>
      <c r="N77" s="28"/>
      <c r="O77" s="26">
        <f t="shared" si="8"/>
        <v>0</v>
      </c>
      <c r="P77" s="28"/>
      <c r="Q77" s="28"/>
      <c r="R77" s="26">
        <f t="shared" si="9"/>
        <v>0</v>
      </c>
    </row>
    <row r="78" spans="1:19" s="12" customFormat="1" ht="12" hidden="1" x14ac:dyDescent="0.2">
      <c r="A78" s="10"/>
      <c r="B78" s="13"/>
      <c r="C78" s="8"/>
      <c r="D78" s="8"/>
      <c r="E78" s="55"/>
      <c r="F78" s="55"/>
      <c r="G78" s="13"/>
      <c r="H78" s="27"/>
      <c r="I78" s="74"/>
      <c r="J78" s="28"/>
      <c r="K78" s="28"/>
      <c r="L78" s="113"/>
      <c r="M78" s="28"/>
      <c r="N78" s="28"/>
      <c r="O78" s="26">
        <f t="shared" si="8"/>
        <v>0</v>
      </c>
      <c r="P78" s="28"/>
      <c r="Q78" s="28"/>
      <c r="R78" s="26">
        <f t="shared" si="9"/>
        <v>0</v>
      </c>
    </row>
    <row r="79" spans="1:19" s="9" customFormat="1" ht="12" hidden="1" x14ac:dyDescent="0.2">
      <c r="A79" s="10"/>
      <c r="B79" s="13"/>
      <c r="C79" s="8"/>
      <c r="D79" s="8"/>
      <c r="E79" s="55"/>
      <c r="F79" s="55"/>
      <c r="G79" s="10"/>
      <c r="H79" s="27"/>
      <c r="I79" s="74"/>
      <c r="J79" s="28"/>
      <c r="K79" s="28"/>
      <c r="L79" s="113"/>
      <c r="M79" s="28"/>
      <c r="N79" s="28"/>
      <c r="O79" s="26">
        <f t="shared" si="8"/>
        <v>0</v>
      </c>
      <c r="P79" s="28"/>
      <c r="Q79" s="28"/>
      <c r="R79" s="26">
        <f t="shared" si="9"/>
        <v>0</v>
      </c>
      <c r="S79" s="12"/>
    </row>
    <row r="80" spans="1:19" s="9" customFormat="1" ht="12" hidden="1" x14ac:dyDescent="0.2">
      <c r="A80" s="10"/>
      <c r="B80" s="13"/>
      <c r="C80" s="11"/>
      <c r="D80" s="20"/>
      <c r="E80" s="55"/>
      <c r="F80" s="55"/>
      <c r="G80" s="13"/>
      <c r="H80" s="27"/>
      <c r="I80" s="74"/>
      <c r="J80" s="27"/>
      <c r="K80" s="28"/>
      <c r="L80" s="113"/>
      <c r="M80" s="27"/>
      <c r="N80" s="27"/>
      <c r="O80" s="26">
        <f t="shared" si="8"/>
        <v>0</v>
      </c>
      <c r="P80" s="27"/>
      <c r="Q80" s="27"/>
      <c r="R80" s="26">
        <f t="shared" si="9"/>
        <v>0</v>
      </c>
      <c r="S80" s="87"/>
    </row>
    <row r="81" spans="1:19" s="9" customFormat="1" ht="12" hidden="1" x14ac:dyDescent="0.2">
      <c r="A81" s="10"/>
      <c r="B81" s="18"/>
      <c r="C81" s="11"/>
      <c r="D81" s="20"/>
      <c r="E81" s="55"/>
      <c r="F81" s="55"/>
      <c r="G81" s="13"/>
      <c r="H81" s="27"/>
      <c r="I81" s="74"/>
      <c r="J81" s="27"/>
      <c r="K81" s="28"/>
      <c r="L81" s="113"/>
      <c r="M81" s="27"/>
      <c r="N81" s="27"/>
      <c r="O81" s="26">
        <f t="shared" si="8"/>
        <v>0</v>
      </c>
      <c r="P81" s="27"/>
      <c r="Q81" s="27"/>
      <c r="R81" s="26">
        <f t="shared" si="9"/>
        <v>0</v>
      </c>
      <c r="S81" s="87"/>
    </row>
    <row r="82" spans="1:19" s="9" customFormat="1" ht="12" hidden="1" x14ac:dyDescent="0.2">
      <c r="A82" s="10"/>
      <c r="B82" s="8"/>
      <c r="C82" s="11"/>
      <c r="D82" s="20"/>
      <c r="E82" s="55"/>
      <c r="F82" s="55"/>
      <c r="G82" s="13"/>
      <c r="H82" s="27"/>
      <c r="I82" s="74"/>
      <c r="J82" s="27"/>
      <c r="K82" s="28"/>
      <c r="L82" s="113"/>
      <c r="M82" s="27"/>
      <c r="N82" s="27"/>
      <c r="O82" s="26">
        <f t="shared" si="8"/>
        <v>0</v>
      </c>
      <c r="P82" s="27"/>
      <c r="Q82" s="27"/>
      <c r="R82" s="26">
        <f t="shared" si="9"/>
        <v>0</v>
      </c>
      <c r="S82" s="87"/>
    </row>
    <row r="83" spans="1:19" s="9" customFormat="1" ht="12" hidden="1" x14ac:dyDescent="0.2">
      <c r="A83" s="10"/>
      <c r="B83" s="8"/>
      <c r="C83" s="11"/>
      <c r="D83" s="20"/>
      <c r="E83" s="55"/>
      <c r="F83" s="55"/>
      <c r="G83" s="13"/>
      <c r="H83" s="27"/>
      <c r="I83" s="74"/>
      <c r="J83" s="27"/>
      <c r="K83" s="28"/>
      <c r="L83" s="113"/>
      <c r="M83" s="27"/>
      <c r="N83" s="27"/>
      <c r="O83" s="26">
        <f t="shared" si="8"/>
        <v>0</v>
      </c>
      <c r="P83" s="27"/>
      <c r="Q83" s="27"/>
      <c r="R83" s="26">
        <f t="shared" si="9"/>
        <v>0</v>
      </c>
      <c r="S83" s="87"/>
    </row>
  </sheetData>
  <autoFilter ref="A1:S83" xr:uid="{00000000-0009-0000-0000-000015000000}">
    <filterColumn colId="1">
      <filters>
        <filter val="Board Member"/>
      </filters>
    </filterColumn>
  </autoFilter>
  <sortState xmlns:xlrd2="http://schemas.microsoft.com/office/spreadsheetml/2017/richdata2"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S62"/>
  <sheetViews>
    <sheetView zoomScale="98" zoomScaleNormal="98" workbookViewId="0">
      <pane ySplit="1" topLeftCell="A2" activePane="bottomLeft" state="frozen"/>
      <selection pane="bottomLeft" activeCell="A23" sqref="A1:S62"/>
    </sheetView>
  </sheetViews>
  <sheetFormatPr defaultRowHeight="14.25" x14ac:dyDescent="0.2"/>
  <cols>
    <col min="1" max="1" width="15.5" bestFit="1" customWidth="1"/>
    <col min="2" max="2" width="25.125" bestFit="1" customWidth="1"/>
    <col min="3" max="3" width="37.125" customWidth="1"/>
    <col min="4" max="4" width="41.375" bestFit="1" customWidth="1"/>
    <col min="5" max="6" width="9.875" bestFit="1" customWidth="1"/>
    <col min="7" max="7" width="20.8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126</v>
      </c>
      <c r="B2" s="10" t="s">
        <v>25</v>
      </c>
      <c r="C2" s="11" t="s">
        <v>55</v>
      </c>
      <c r="D2" s="8" t="s">
        <v>569</v>
      </c>
      <c r="E2" s="55">
        <v>42823</v>
      </c>
      <c r="F2" s="55">
        <v>42824</v>
      </c>
      <c r="G2" s="10" t="s">
        <v>18</v>
      </c>
      <c r="H2" s="74"/>
      <c r="I2" s="102"/>
      <c r="J2" s="27">
        <v>278.14999999999998</v>
      </c>
      <c r="K2" s="28">
        <v>83</v>
      </c>
      <c r="L2" s="113"/>
      <c r="M2" s="27"/>
      <c r="N2" s="27"/>
      <c r="O2" s="26">
        <f t="shared" ref="O2:O45" si="0">SUM(J2:N2)</f>
        <v>361.15</v>
      </c>
      <c r="P2" s="27"/>
      <c r="Q2" s="27"/>
      <c r="R2" s="26">
        <f t="shared" ref="R2:R45" si="1">SUM(O2:Q2)</f>
        <v>361.15</v>
      </c>
      <c r="S2" s="117"/>
    </row>
    <row r="3" spans="1:19" s="12" customFormat="1" ht="12" x14ac:dyDescent="0.2">
      <c r="A3" s="10" t="s">
        <v>207</v>
      </c>
      <c r="B3" s="10" t="s">
        <v>25</v>
      </c>
      <c r="C3" s="11" t="s">
        <v>409</v>
      </c>
      <c r="D3" s="8" t="s">
        <v>564</v>
      </c>
      <c r="E3" s="55">
        <v>42867</v>
      </c>
      <c r="F3" s="55">
        <v>42868</v>
      </c>
      <c r="G3" s="10" t="s">
        <v>99</v>
      </c>
      <c r="H3" s="102"/>
      <c r="I3" s="102"/>
      <c r="J3" s="27">
        <f>168.92+262.12</f>
        <v>431.03999999999996</v>
      </c>
      <c r="K3" s="28"/>
      <c r="L3" s="113">
        <v>135</v>
      </c>
      <c r="M3" s="27"/>
      <c r="N3" s="27"/>
      <c r="O3" s="26">
        <f t="shared" si="0"/>
        <v>566.04</v>
      </c>
      <c r="P3" s="27"/>
      <c r="Q3" s="27"/>
      <c r="R3" s="26">
        <f t="shared" si="1"/>
        <v>566.04</v>
      </c>
    </row>
    <row r="4" spans="1:19" s="12" customFormat="1" ht="12" x14ac:dyDescent="0.2">
      <c r="A4" s="10" t="s">
        <v>209</v>
      </c>
      <c r="B4" s="10" t="s">
        <v>25</v>
      </c>
      <c r="C4" s="11" t="s">
        <v>55</v>
      </c>
      <c r="D4" s="8" t="s">
        <v>533</v>
      </c>
      <c r="E4" s="55">
        <v>42881</v>
      </c>
      <c r="F4" s="55">
        <v>42883</v>
      </c>
      <c r="G4" s="10" t="s">
        <v>18</v>
      </c>
      <c r="H4" s="102"/>
      <c r="I4" s="102"/>
      <c r="J4" s="27"/>
      <c r="K4" s="28">
        <f>16.8+18+2.52</f>
        <v>37.32</v>
      </c>
      <c r="L4" s="113"/>
      <c r="M4" s="27">
        <v>19.91</v>
      </c>
      <c r="N4" s="27">
        <v>48.67</v>
      </c>
      <c r="O4" s="26">
        <f t="shared" si="0"/>
        <v>105.9</v>
      </c>
      <c r="P4" s="27"/>
      <c r="Q4" s="27"/>
      <c r="R4" s="26">
        <f t="shared" si="1"/>
        <v>105.9</v>
      </c>
    </row>
    <row r="5" spans="1:19" s="12" customFormat="1" ht="12.75" thickBot="1" x14ac:dyDescent="0.25">
      <c r="A5" s="152" t="s">
        <v>209</v>
      </c>
      <c r="B5" s="10" t="s">
        <v>25</v>
      </c>
      <c r="C5" s="11" t="s">
        <v>55</v>
      </c>
      <c r="D5" s="8" t="s">
        <v>534</v>
      </c>
      <c r="E5" s="55">
        <v>42897</v>
      </c>
      <c r="F5" s="55">
        <v>42898</v>
      </c>
      <c r="G5" s="10" t="s">
        <v>47</v>
      </c>
      <c r="H5" s="102"/>
      <c r="I5" s="102"/>
      <c r="J5" s="27">
        <f>272.12+193.12</f>
        <v>465.24</v>
      </c>
      <c r="K5" s="28">
        <f>17.6+66.23+5.31</f>
        <v>89.140000000000015</v>
      </c>
      <c r="L5" s="113">
        <v>204.3</v>
      </c>
      <c r="M5" s="27">
        <v>28.76</v>
      </c>
      <c r="N5" s="27">
        <v>32.74</v>
      </c>
      <c r="O5" s="26">
        <f t="shared" si="0"/>
        <v>820.18000000000006</v>
      </c>
      <c r="P5" s="27"/>
      <c r="Q5" s="27"/>
      <c r="R5" s="26">
        <f t="shared" si="1"/>
        <v>820.18000000000006</v>
      </c>
    </row>
    <row r="6" spans="1:19" s="12" customFormat="1" ht="12.75" customHeight="1" thickBot="1" x14ac:dyDescent="0.25">
      <c r="A6" s="153" t="s">
        <v>374</v>
      </c>
      <c r="B6" s="10" t="s">
        <v>25</v>
      </c>
      <c r="C6" s="11" t="s">
        <v>107</v>
      </c>
      <c r="D6" s="8" t="s">
        <v>535</v>
      </c>
      <c r="E6" s="55">
        <v>42845</v>
      </c>
      <c r="F6" s="55">
        <v>42845</v>
      </c>
      <c r="G6" s="10" t="s">
        <v>18</v>
      </c>
      <c r="H6" s="102"/>
      <c r="I6" s="102"/>
      <c r="J6" s="27"/>
      <c r="K6" s="28">
        <f>36.48+8.86</f>
        <v>45.339999999999996</v>
      </c>
      <c r="L6" s="113"/>
      <c r="M6" s="27"/>
      <c r="N6" s="27"/>
      <c r="O6" s="26">
        <f t="shared" si="0"/>
        <v>45.339999999999996</v>
      </c>
      <c r="P6" s="27"/>
      <c r="Q6" s="27"/>
      <c r="R6" s="26">
        <f t="shared" si="1"/>
        <v>45.339999999999996</v>
      </c>
    </row>
    <row r="7" spans="1:19" s="12" customFormat="1" ht="12" x14ac:dyDescent="0.2">
      <c r="A7" s="153" t="s">
        <v>374</v>
      </c>
      <c r="B7" s="151" t="s">
        <v>25</v>
      </c>
      <c r="C7" s="11" t="s">
        <v>55</v>
      </c>
      <c r="D7" s="8" t="s">
        <v>556</v>
      </c>
      <c r="E7" s="55">
        <v>42858</v>
      </c>
      <c r="F7" s="55">
        <v>42858</v>
      </c>
      <c r="G7" s="10" t="s">
        <v>545</v>
      </c>
      <c r="H7" s="102"/>
      <c r="I7" s="102"/>
      <c r="J7" s="27"/>
      <c r="K7" s="28">
        <v>86</v>
      </c>
      <c r="L7" s="113"/>
      <c r="M7" s="27"/>
      <c r="N7" s="27"/>
      <c r="O7" s="26">
        <f t="shared" si="0"/>
        <v>86</v>
      </c>
      <c r="P7" s="27"/>
      <c r="Q7" s="27"/>
      <c r="R7" s="26">
        <f t="shared" si="1"/>
        <v>86</v>
      </c>
    </row>
    <row r="8" spans="1:19" s="12" customFormat="1" ht="12.75" hidden="1" customHeight="1" x14ac:dyDescent="0.2">
      <c r="A8" s="153" t="s">
        <v>374</v>
      </c>
      <c r="B8" s="151" t="s">
        <v>403</v>
      </c>
      <c r="C8" s="11" t="s">
        <v>409</v>
      </c>
      <c r="D8" s="8" t="s">
        <v>564</v>
      </c>
      <c r="E8" s="55">
        <v>42859</v>
      </c>
      <c r="F8" s="55">
        <v>42864</v>
      </c>
      <c r="G8" s="13" t="s">
        <v>555</v>
      </c>
      <c r="H8" s="74"/>
      <c r="I8" s="102"/>
      <c r="J8" s="27"/>
      <c r="K8" s="28">
        <f>199.5+30.9+22.82</f>
        <v>253.22</v>
      </c>
      <c r="L8" s="113">
        <v>108.15</v>
      </c>
      <c r="M8" s="27">
        <f>19.91+19.91+19.91</f>
        <v>59.730000000000004</v>
      </c>
      <c r="N8" s="27">
        <v>18</v>
      </c>
      <c r="O8" s="26">
        <f t="shared" si="0"/>
        <v>439.1</v>
      </c>
      <c r="P8" s="27"/>
      <c r="Q8" s="27"/>
      <c r="R8" s="26">
        <f t="shared" si="1"/>
        <v>439.1</v>
      </c>
    </row>
    <row r="9" spans="1:19" s="12" customFormat="1" ht="12.75" hidden="1" thickBot="1" x14ac:dyDescent="0.25">
      <c r="A9" s="154" t="s">
        <v>374</v>
      </c>
      <c r="B9" s="151" t="s">
        <v>403</v>
      </c>
      <c r="C9" s="11" t="s">
        <v>409</v>
      </c>
      <c r="D9" s="8" t="s">
        <v>564</v>
      </c>
      <c r="E9" s="55">
        <v>42866</v>
      </c>
      <c r="F9" s="55">
        <v>42867</v>
      </c>
      <c r="G9" s="10" t="s">
        <v>528</v>
      </c>
      <c r="H9" s="74"/>
      <c r="I9" s="102"/>
      <c r="J9" s="27"/>
      <c r="K9" s="150">
        <f>45.65+17.7</f>
        <v>63.349999999999994</v>
      </c>
      <c r="L9" s="113">
        <v>135</v>
      </c>
      <c r="M9" s="27">
        <f>19.91+8.85+19.91</f>
        <v>48.67</v>
      </c>
      <c r="N9" s="27"/>
      <c r="O9" s="26">
        <f t="shared" si="0"/>
        <v>247.01999999999998</v>
      </c>
      <c r="P9" s="27"/>
      <c r="Q9" s="27"/>
      <c r="R9" s="26">
        <f t="shared" si="1"/>
        <v>247.01999999999998</v>
      </c>
      <c r="S9" s="87"/>
    </row>
    <row r="10" spans="1:19" s="12" customFormat="1" ht="12" x14ac:dyDescent="0.2">
      <c r="A10" s="10" t="s">
        <v>431</v>
      </c>
      <c r="B10" s="10" t="s">
        <v>25</v>
      </c>
      <c r="C10" s="11" t="s">
        <v>479</v>
      </c>
      <c r="D10" s="8" t="s">
        <v>478</v>
      </c>
      <c r="E10" s="55">
        <v>42836</v>
      </c>
      <c r="F10" s="55">
        <v>42836</v>
      </c>
      <c r="G10" s="10" t="s">
        <v>18</v>
      </c>
      <c r="H10" s="74"/>
      <c r="I10" s="102"/>
      <c r="J10" s="27"/>
      <c r="K10" s="28">
        <v>12</v>
      </c>
      <c r="L10" s="113"/>
      <c r="M10" s="27"/>
      <c r="N10" s="27"/>
      <c r="O10" s="26">
        <f t="shared" si="0"/>
        <v>12</v>
      </c>
      <c r="P10" s="27"/>
      <c r="Q10" s="27"/>
      <c r="R10" s="26">
        <f t="shared" si="1"/>
        <v>12</v>
      </c>
    </row>
    <row r="11" spans="1:19" s="12" customFormat="1" ht="12" x14ac:dyDescent="0.2">
      <c r="A11" s="10" t="s">
        <v>209</v>
      </c>
      <c r="B11" s="10" t="s">
        <v>25</v>
      </c>
      <c r="C11" s="11" t="s">
        <v>55</v>
      </c>
      <c r="D11" s="8" t="s">
        <v>536</v>
      </c>
      <c r="E11" s="55">
        <v>42823</v>
      </c>
      <c r="F11" s="55">
        <v>42824</v>
      </c>
      <c r="G11" s="10" t="s">
        <v>47</v>
      </c>
      <c r="H11" s="74"/>
      <c r="I11" s="102"/>
      <c r="J11" s="27">
        <v>20</v>
      </c>
      <c r="K11" s="28">
        <f>35.06+69+69+29.53</f>
        <v>202.59</v>
      </c>
      <c r="L11" s="113"/>
      <c r="M11" s="27"/>
      <c r="N11" s="27"/>
      <c r="O11" s="26">
        <f t="shared" si="0"/>
        <v>222.59</v>
      </c>
      <c r="P11" s="27"/>
      <c r="Q11" s="27"/>
      <c r="R11" s="26">
        <f t="shared" si="1"/>
        <v>222.59</v>
      </c>
    </row>
    <row r="12" spans="1:19" s="12" customFormat="1" ht="12" x14ac:dyDescent="0.2">
      <c r="A12" s="10" t="s">
        <v>359</v>
      </c>
      <c r="B12" s="10" t="s">
        <v>25</v>
      </c>
      <c r="C12" s="8" t="s">
        <v>55</v>
      </c>
      <c r="D12" s="8" t="s">
        <v>558</v>
      </c>
      <c r="E12" s="55">
        <v>42823</v>
      </c>
      <c r="F12" s="55">
        <v>42824</v>
      </c>
      <c r="G12" s="10" t="s">
        <v>18</v>
      </c>
      <c r="H12" s="74"/>
      <c r="I12" s="102"/>
      <c r="J12" s="27"/>
      <c r="K12" s="28">
        <v>20.5</v>
      </c>
      <c r="L12" s="113"/>
      <c r="M12" s="27"/>
      <c r="N12" s="27"/>
      <c r="O12" s="26">
        <f t="shared" si="0"/>
        <v>20.5</v>
      </c>
      <c r="P12" s="27"/>
      <c r="Q12" s="27"/>
      <c r="R12" s="26">
        <f t="shared" si="1"/>
        <v>20.5</v>
      </c>
      <c r="S12" s="117"/>
    </row>
    <row r="13" spans="1:19" s="12" customFormat="1" ht="12" x14ac:dyDescent="0.2">
      <c r="A13" s="10" t="s">
        <v>431</v>
      </c>
      <c r="B13" s="10" t="s">
        <v>25</v>
      </c>
      <c r="C13" s="8" t="s">
        <v>55</v>
      </c>
      <c r="D13" s="8" t="s">
        <v>536</v>
      </c>
      <c r="E13" s="55">
        <v>42823</v>
      </c>
      <c r="F13" s="55">
        <v>42824</v>
      </c>
      <c r="G13" s="10" t="s">
        <v>18</v>
      </c>
      <c r="H13" s="74"/>
      <c r="I13" s="102"/>
      <c r="J13" s="27">
        <v>65</v>
      </c>
      <c r="K13" s="28">
        <v>36</v>
      </c>
      <c r="L13" s="113">
        <v>152.96</v>
      </c>
      <c r="M13" s="27">
        <v>39.82</v>
      </c>
      <c r="N13" s="27"/>
      <c r="O13" s="26">
        <f t="shared" si="0"/>
        <v>293.78000000000003</v>
      </c>
      <c r="P13" s="27"/>
      <c r="Q13" s="27"/>
      <c r="R13" s="26">
        <f t="shared" si="1"/>
        <v>293.78000000000003</v>
      </c>
      <c r="S13" s="117"/>
    </row>
    <row r="14" spans="1:19" s="12" customFormat="1" ht="12" hidden="1" x14ac:dyDescent="0.2">
      <c r="A14" s="10" t="s">
        <v>374</v>
      </c>
      <c r="B14" s="10" t="s">
        <v>403</v>
      </c>
      <c r="C14" s="8" t="s">
        <v>55</v>
      </c>
      <c r="D14" s="8" t="s">
        <v>536</v>
      </c>
      <c r="E14" s="55">
        <v>42899</v>
      </c>
      <c r="F14" s="55">
        <v>42900</v>
      </c>
      <c r="G14" s="10" t="s">
        <v>545</v>
      </c>
      <c r="H14" s="74"/>
      <c r="I14" s="102"/>
      <c r="J14" s="27"/>
      <c r="K14" s="28"/>
      <c r="L14" s="113">
        <v>175.99</v>
      </c>
      <c r="M14" s="27"/>
      <c r="N14" s="27"/>
      <c r="O14" s="26">
        <f t="shared" si="0"/>
        <v>175.99</v>
      </c>
      <c r="P14" s="27"/>
      <c r="Q14" s="27"/>
      <c r="R14" s="26">
        <f t="shared" si="1"/>
        <v>175.99</v>
      </c>
      <c r="S14" s="117"/>
    </row>
    <row r="15" spans="1:19" s="12" customFormat="1" ht="12" hidden="1" x14ac:dyDescent="0.2">
      <c r="A15" s="10" t="s">
        <v>38</v>
      </c>
      <c r="B15" s="10" t="s">
        <v>167</v>
      </c>
      <c r="C15" s="8" t="s">
        <v>55</v>
      </c>
      <c r="D15" s="8" t="s">
        <v>536</v>
      </c>
      <c r="E15" s="55">
        <v>42899</v>
      </c>
      <c r="F15" s="55">
        <v>42900</v>
      </c>
      <c r="G15" s="10" t="s">
        <v>545</v>
      </c>
      <c r="H15" s="74"/>
      <c r="I15" s="102"/>
      <c r="J15" s="27"/>
      <c r="K15" s="28"/>
      <c r="L15" s="113">
        <v>175.99</v>
      </c>
      <c r="M15" s="27"/>
      <c r="N15" s="27"/>
      <c r="O15" s="26">
        <f t="shared" si="0"/>
        <v>175.99</v>
      </c>
      <c r="P15" s="27"/>
      <c r="Q15" s="27"/>
      <c r="R15" s="26">
        <f t="shared" si="1"/>
        <v>175.99</v>
      </c>
      <c r="S15" s="117"/>
    </row>
    <row r="16" spans="1:19" s="12" customFormat="1" ht="12" hidden="1" x14ac:dyDescent="0.2">
      <c r="A16" s="10" t="s">
        <v>31</v>
      </c>
      <c r="B16" s="10" t="s">
        <v>414</v>
      </c>
      <c r="C16" s="8" t="s">
        <v>55</v>
      </c>
      <c r="D16" s="8" t="s">
        <v>536</v>
      </c>
      <c r="E16" s="55">
        <v>42899</v>
      </c>
      <c r="F16" s="55">
        <v>42900</v>
      </c>
      <c r="G16" s="10" t="s">
        <v>545</v>
      </c>
      <c r="H16" s="74"/>
      <c r="I16" s="102"/>
      <c r="J16" s="27"/>
      <c r="K16" s="28"/>
      <c r="L16" s="113">
        <v>185.99</v>
      </c>
      <c r="M16" s="27"/>
      <c r="N16" s="27"/>
      <c r="O16" s="26">
        <f t="shared" si="0"/>
        <v>185.99</v>
      </c>
      <c r="P16" s="27"/>
      <c r="Q16" s="27"/>
      <c r="R16" s="26">
        <f t="shared" si="1"/>
        <v>185.99</v>
      </c>
      <c r="S16" s="117"/>
    </row>
    <row r="17" spans="1:19" s="12" customFormat="1" ht="12" hidden="1" x14ac:dyDescent="0.2">
      <c r="A17" s="10" t="s">
        <v>389</v>
      </c>
      <c r="B17" s="10" t="s">
        <v>34</v>
      </c>
      <c r="C17" s="8" t="s">
        <v>55</v>
      </c>
      <c r="D17" s="8" t="s">
        <v>558</v>
      </c>
      <c r="E17" s="55">
        <v>42899</v>
      </c>
      <c r="F17" s="55">
        <v>42900</v>
      </c>
      <c r="G17" s="10" t="s">
        <v>545</v>
      </c>
      <c r="H17" s="74"/>
      <c r="I17" s="102"/>
      <c r="J17" s="27"/>
      <c r="K17" s="28"/>
      <c r="L17" s="113">
        <v>175.99</v>
      </c>
      <c r="M17" s="27"/>
      <c r="N17" s="27"/>
      <c r="O17" s="26">
        <f t="shared" si="0"/>
        <v>175.99</v>
      </c>
      <c r="P17" s="27"/>
      <c r="Q17" s="27"/>
      <c r="R17" s="26">
        <f t="shared" si="1"/>
        <v>175.99</v>
      </c>
      <c r="S17" s="117"/>
    </row>
    <row r="18" spans="1:19" s="12" customFormat="1" ht="12" hidden="1" x14ac:dyDescent="0.2">
      <c r="A18" s="10" t="s">
        <v>537</v>
      </c>
      <c r="B18" s="10" t="s">
        <v>538</v>
      </c>
      <c r="C18" s="8" t="s">
        <v>55</v>
      </c>
      <c r="D18" s="8" t="s">
        <v>536</v>
      </c>
      <c r="E18" s="55">
        <v>42899</v>
      </c>
      <c r="F18" s="55">
        <v>42900</v>
      </c>
      <c r="G18" s="10" t="s">
        <v>545</v>
      </c>
      <c r="H18" s="74"/>
      <c r="I18" s="102"/>
      <c r="J18" s="27"/>
      <c r="K18" s="28"/>
      <c r="L18" s="113">
        <v>185.99</v>
      </c>
      <c r="M18" s="27"/>
      <c r="N18" s="27"/>
      <c r="O18" s="26">
        <f t="shared" si="0"/>
        <v>185.99</v>
      </c>
      <c r="P18" s="27"/>
      <c r="Q18" s="27"/>
      <c r="R18" s="26">
        <f t="shared" si="1"/>
        <v>185.99</v>
      </c>
      <c r="S18" s="117"/>
    </row>
    <row r="19" spans="1:19" s="12" customFormat="1" ht="12" hidden="1" x14ac:dyDescent="0.2">
      <c r="A19" s="10" t="s">
        <v>205</v>
      </c>
      <c r="B19" s="18" t="s">
        <v>37</v>
      </c>
      <c r="C19" s="8" t="s">
        <v>55</v>
      </c>
      <c r="D19" s="8" t="s">
        <v>536</v>
      </c>
      <c r="E19" s="55">
        <v>42899</v>
      </c>
      <c r="F19" s="55">
        <v>42900</v>
      </c>
      <c r="G19" s="10" t="s">
        <v>545</v>
      </c>
      <c r="H19" s="74"/>
      <c r="I19" s="102"/>
      <c r="J19" s="27"/>
      <c r="K19" s="28"/>
      <c r="L19" s="113">
        <v>185.99</v>
      </c>
      <c r="M19" s="27"/>
      <c r="N19" s="27"/>
      <c r="O19" s="26">
        <f t="shared" si="0"/>
        <v>185.99</v>
      </c>
      <c r="P19" s="27"/>
      <c r="Q19" s="27"/>
      <c r="R19" s="26">
        <f t="shared" si="1"/>
        <v>185.99</v>
      </c>
      <c r="S19" s="117"/>
    </row>
    <row r="20" spans="1:19" s="12" customFormat="1" ht="12" x14ac:dyDescent="0.2">
      <c r="A20" s="10" t="s">
        <v>435</v>
      </c>
      <c r="B20" s="10" t="s">
        <v>25</v>
      </c>
      <c r="C20" s="8" t="s">
        <v>55</v>
      </c>
      <c r="D20" s="8" t="s">
        <v>536</v>
      </c>
      <c r="E20" s="55">
        <v>42899</v>
      </c>
      <c r="F20" s="55">
        <v>42900</v>
      </c>
      <c r="G20" s="10" t="s">
        <v>545</v>
      </c>
      <c r="H20" s="74"/>
      <c r="I20" s="102"/>
      <c r="J20" s="27"/>
      <c r="K20" s="28"/>
      <c r="L20" s="113">
        <v>185.99</v>
      </c>
      <c r="M20" s="27"/>
      <c r="N20" s="27"/>
      <c r="O20" s="26">
        <f t="shared" si="0"/>
        <v>185.99</v>
      </c>
      <c r="P20" s="27"/>
      <c r="Q20" s="27"/>
      <c r="R20" s="26">
        <f t="shared" si="1"/>
        <v>185.99</v>
      </c>
      <c r="S20" s="117"/>
    </row>
    <row r="21" spans="1:19" s="12" customFormat="1" ht="12" x14ac:dyDescent="0.2">
      <c r="A21" s="10" t="s">
        <v>539</v>
      </c>
      <c r="B21" s="10" t="s">
        <v>25</v>
      </c>
      <c r="C21" s="8" t="s">
        <v>55</v>
      </c>
      <c r="D21" s="8" t="s">
        <v>536</v>
      </c>
      <c r="E21" s="55">
        <v>42899</v>
      </c>
      <c r="F21" s="55">
        <v>42900</v>
      </c>
      <c r="G21" s="10" t="s">
        <v>545</v>
      </c>
      <c r="H21" s="74"/>
      <c r="I21" s="102"/>
      <c r="J21" s="27"/>
      <c r="K21" s="28"/>
      <c r="L21" s="113">
        <v>185.99</v>
      </c>
      <c r="M21" s="27"/>
      <c r="N21" s="27"/>
      <c r="O21" s="26">
        <f t="shared" si="0"/>
        <v>185.99</v>
      </c>
      <c r="P21" s="27"/>
      <c r="Q21" s="27"/>
      <c r="R21" s="26">
        <f t="shared" si="1"/>
        <v>185.99</v>
      </c>
      <c r="S21" s="117"/>
    </row>
    <row r="22" spans="1:19" s="12" customFormat="1" ht="12" x14ac:dyDescent="0.2">
      <c r="A22" s="10" t="s">
        <v>431</v>
      </c>
      <c r="B22" s="10" t="s">
        <v>25</v>
      </c>
      <c r="C22" s="8" t="s">
        <v>55</v>
      </c>
      <c r="D22" s="8" t="s">
        <v>536</v>
      </c>
      <c r="E22" s="55">
        <v>42900</v>
      </c>
      <c r="F22" s="55">
        <v>42903</v>
      </c>
      <c r="G22" s="10" t="s">
        <v>545</v>
      </c>
      <c r="H22" s="74"/>
      <c r="I22" s="102"/>
      <c r="J22" s="27">
        <f>125+100</f>
        <v>225</v>
      </c>
      <c r="K22" s="28">
        <f>133.45</f>
        <v>133.44999999999999</v>
      </c>
      <c r="L22" s="113">
        <v>175.99</v>
      </c>
      <c r="M22" s="27"/>
      <c r="N22" s="27"/>
      <c r="O22" s="26">
        <f t="shared" si="0"/>
        <v>534.44000000000005</v>
      </c>
      <c r="P22" s="27"/>
      <c r="Q22" s="27"/>
      <c r="R22" s="26">
        <f t="shared" si="1"/>
        <v>534.44000000000005</v>
      </c>
      <c r="S22" s="117"/>
    </row>
    <row r="23" spans="1:19" s="12" customFormat="1" ht="12" x14ac:dyDescent="0.2">
      <c r="A23" s="10" t="s">
        <v>126</v>
      </c>
      <c r="B23" s="10" t="s">
        <v>25</v>
      </c>
      <c r="C23" s="8" t="s">
        <v>55</v>
      </c>
      <c r="D23" s="8" t="s">
        <v>536</v>
      </c>
      <c r="E23" s="55">
        <v>42900</v>
      </c>
      <c r="F23" s="55">
        <v>42901</v>
      </c>
      <c r="G23" s="10" t="s">
        <v>545</v>
      </c>
      <c r="H23" s="74"/>
      <c r="I23" s="102"/>
      <c r="J23" s="27"/>
      <c r="K23" s="28"/>
      <c r="L23" s="113">
        <v>175.99</v>
      </c>
      <c r="M23" s="27"/>
      <c r="N23" s="27"/>
      <c r="O23" s="26">
        <f t="shared" si="0"/>
        <v>175.99</v>
      </c>
      <c r="P23" s="27"/>
      <c r="Q23" s="27"/>
      <c r="R23" s="26">
        <f t="shared" si="1"/>
        <v>175.99</v>
      </c>
      <c r="S23" s="117"/>
    </row>
    <row r="24" spans="1:19" s="12" customFormat="1" ht="12" x14ac:dyDescent="0.2">
      <c r="A24" s="10" t="s">
        <v>210</v>
      </c>
      <c r="B24" s="10" t="s">
        <v>25</v>
      </c>
      <c r="C24" s="8" t="s">
        <v>55</v>
      </c>
      <c r="D24" s="8" t="s">
        <v>536</v>
      </c>
      <c r="E24" s="55">
        <v>42900</v>
      </c>
      <c r="F24" s="55">
        <v>42901</v>
      </c>
      <c r="G24" s="10" t="s">
        <v>545</v>
      </c>
      <c r="H24" s="74"/>
      <c r="I24" s="102"/>
      <c r="J24" s="27"/>
      <c r="K24" s="28"/>
      <c r="L24" s="113">
        <v>185.99</v>
      </c>
      <c r="M24" s="27"/>
      <c r="N24" s="27"/>
      <c r="O24" s="26">
        <f t="shared" si="0"/>
        <v>185.99</v>
      </c>
      <c r="P24" s="27"/>
      <c r="Q24" s="27"/>
      <c r="R24" s="26">
        <f t="shared" si="1"/>
        <v>185.99</v>
      </c>
      <c r="S24" s="117"/>
    </row>
    <row r="25" spans="1:19" s="12" customFormat="1" ht="12" hidden="1" x14ac:dyDescent="0.2">
      <c r="A25" s="10" t="s">
        <v>50</v>
      </c>
      <c r="B25" s="18" t="s">
        <v>561</v>
      </c>
      <c r="C25" s="8" t="s">
        <v>55</v>
      </c>
      <c r="D25" s="8" t="s">
        <v>536</v>
      </c>
      <c r="E25" s="55">
        <v>42900</v>
      </c>
      <c r="F25" s="55">
        <v>42901</v>
      </c>
      <c r="G25" s="10" t="s">
        <v>545</v>
      </c>
      <c r="H25" s="74"/>
      <c r="I25" s="102"/>
      <c r="J25" s="27"/>
      <c r="K25" s="28"/>
      <c r="L25" s="113">
        <v>185.99</v>
      </c>
      <c r="M25" s="27"/>
      <c r="N25" s="27"/>
      <c r="O25" s="26">
        <f t="shared" si="0"/>
        <v>185.99</v>
      </c>
      <c r="P25" s="27"/>
      <c r="Q25" s="27"/>
      <c r="R25" s="26">
        <f t="shared" si="1"/>
        <v>185.99</v>
      </c>
      <c r="S25" s="117"/>
    </row>
    <row r="26" spans="1:19" s="12" customFormat="1" ht="12" x14ac:dyDescent="0.2">
      <c r="A26" s="10" t="s">
        <v>207</v>
      </c>
      <c r="B26" s="10" t="s">
        <v>25</v>
      </c>
      <c r="C26" s="8" t="s">
        <v>55</v>
      </c>
      <c r="D26" s="8" t="s">
        <v>536</v>
      </c>
      <c r="E26" s="55">
        <v>42900</v>
      </c>
      <c r="F26" s="55">
        <v>42901</v>
      </c>
      <c r="G26" s="10" t="s">
        <v>545</v>
      </c>
      <c r="H26" s="74"/>
      <c r="I26" s="102"/>
      <c r="J26" s="27"/>
      <c r="K26" s="28"/>
      <c r="L26" s="113">
        <v>185.99</v>
      </c>
      <c r="M26" s="27"/>
      <c r="N26" s="27"/>
      <c r="O26" s="26">
        <f t="shared" si="0"/>
        <v>185.99</v>
      </c>
      <c r="P26" s="27"/>
      <c r="Q26" s="27"/>
      <c r="R26" s="26">
        <f t="shared" si="1"/>
        <v>185.99</v>
      </c>
      <c r="S26" s="117"/>
    </row>
    <row r="27" spans="1:19" s="12" customFormat="1" ht="12" x14ac:dyDescent="0.2">
      <c r="A27" s="152" t="s">
        <v>540</v>
      </c>
      <c r="B27" s="10" t="s">
        <v>25</v>
      </c>
      <c r="C27" s="8" t="s">
        <v>55</v>
      </c>
      <c r="D27" s="8" t="s">
        <v>536</v>
      </c>
      <c r="E27" s="55">
        <v>42900</v>
      </c>
      <c r="F27" s="55">
        <v>42901</v>
      </c>
      <c r="G27" s="10" t="s">
        <v>545</v>
      </c>
      <c r="H27" s="74"/>
      <c r="I27" s="102"/>
      <c r="J27" s="27"/>
      <c r="K27" s="28"/>
      <c r="L27" s="113">
        <v>175.99</v>
      </c>
      <c r="M27" s="27"/>
      <c r="N27" s="27"/>
      <c r="O27" s="26">
        <f t="shared" si="0"/>
        <v>175.99</v>
      </c>
      <c r="P27" s="27"/>
      <c r="Q27" s="27"/>
      <c r="R27" s="26">
        <f t="shared" si="1"/>
        <v>175.99</v>
      </c>
      <c r="S27" s="117"/>
    </row>
    <row r="28" spans="1:19" s="12" customFormat="1" ht="12" hidden="1" x14ac:dyDescent="0.2">
      <c r="A28" s="153" t="s">
        <v>541</v>
      </c>
      <c r="B28" s="151"/>
      <c r="C28" s="8" t="s">
        <v>55</v>
      </c>
      <c r="D28" s="8" t="s">
        <v>536</v>
      </c>
      <c r="E28" s="55">
        <v>42900</v>
      </c>
      <c r="F28" s="55">
        <v>42901</v>
      </c>
      <c r="G28" s="10" t="s">
        <v>545</v>
      </c>
      <c r="H28" s="74"/>
      <c r="I28" s="102"/>
      <c r="J28" s="27"/>
      <c r="K28" s="28"/>
      <c r="L28" s="113">
        <v>175.99</v>
      </c>
      <c r="M28" s="27"/>
      <c r="N28" s="27"/>
      <c r="O28" s="26">
        <f t="shared" si="0"/>
        <v>175.99</v>
      </c>
      <c r="P28" s="27"/>
      <c r="Q28" s="27"/>
      <c r="R28" s="26">
        <f t="shared" si="1"/>
        <v>175.99</v>
      </c>
      <c r="S28" s="117"/>
    </row>
    <row r="29" spans="1:19" s="12" customFormat="1" ht="12" hidden="1" x14ac:dyDescent="0.2">
      <c r="A29" s="155" t="s">
        <v>542</v>
      </c>
      <c r="B29" s="151"/>
      <c r="C29" s="8" t="s">
        <v>55</v>
      </c>
      <c r="D29" s="8" t="s">
        <v>536</v>
      </c>
      <c r="E29" s="55">
        <v>42900</v>
      </c>
      <c r="F29" s="55">
        <v>42901</v>
      </c>
      <c r="G29" s="10" t="s">
        <v>545</v>
      </c>
      <c r="H29" s="74"/>
      <c r="I29" s="102"/>
      <c r="J29" s="27"/>
      <c r="K29" s="28"/>
      <c r="L29" s="113">
        <v>175.99</v>
      </c>
      <c r="M29" s="27"/>
      <c r="N29" s="27"/>
      <c r="O29" s="26">
        <f t="shared" si="0"/>
        <v>175.99</v>
      </c>
      <c r="P29" s="27"/>
      <c r="Q29" s="27"/>
      <c r="R29" s="26">
        <f t="shared" si="1"/>
        <v>175.99</v>
      </c>
      <c r="S29" s="117"/>
    </row>
    <row r="30" spans="1:19" s="12" customFormat="1" ht="12.75" hidden="1" thickBot="1" x14ac:dyDescent="0.25">
      <c r="A30" s="154" t="s">
        <v>543</v>
      </c>
      <c r="B30" s="151"/>
      <c r="C30" s="8" t="s">
        <v>55</v>
      </c>
      <c r="D30" s="8" t="s">
        <v>536</v>
      </c>
      <c r="E30" s="55">
        <v>42900</v>
      </c>
      <c r="F30" s="55">
        <v>42901</v>
      </c>
      <c r="G30" s="10" t="s">
        <v>545</v>
      </c>
      <c r="H30" s="74"/>
      <c r="I30" s="102"/>
      <c r="J30" s="27"/>
      <c r="K30" s="28"/>
      <c r="L30" s="113">
        <v>175.99</v>
      </c>
      <c r="M30" s="27"/>
      <c r="N30" s="27"/>
      <c r="O30" s="26">
        <f t="shared" si="0"/>
        <v>175.99</v>
      </c>
      <c r="P30" s="27"/>
      <c r="Q30" s="27"/>
      <c r="R30" s="26">
        <f t="shared" si="1"/>
        <v>175.99</v>
      </c>
      <c r="S30" s="117"/>
    </row>
    <row r="31" spans="1:19" s="12" customFormat="1" ht="12" x14ac:dyDescent="0.2">
      <c r="A31" s="81" t="s">
        <v>432</v>
      </c>
      <c r="B31" s="10" t="s">
        <v>25</v>
      </c>
      <c r="C31" s="8" t="s">
        <v>55</v>
      </c>
      <c r="D31" s="8" t="s">
        <v>536</v>
      </c>
      <c r="E31" s="55">
        <v>42900</v>
      </c>
      <c r="F31" s="55">
        <v>42903</v>
      </c>
      <c r="G31" s="10" t="s">
        <v>118</v>
      </c>
      <c r="H31" s="74"/>
      <c r="I31" s="102"/>
      <c r="J31" s="28">
        <f>145.12+135.12</f>
        <v>280.24</v>
      </c>
      <c r="L31" s="113">
        <v>185.99</v>
      </c>
      <c r="M31" s="27"/>
      <c r="N31" s="27"/>
      <c r="O31" s="26">
        <f>SUM(J31:N31)</f>
        <v>466.23</v>
      </c>
      <c r="P31" s="27"/>
      <c r="Q31" s="27"/>
      <c r="R31" s="26">
        <f t="shared" si="1"/>
        <v>466.23</v>
      </c>
      <c r="S31" s="117"/>
    </row>
    <row r="32" spans="1:19" s="12" customFormat="1" ht="12" x14ac:dyDescent="0.2">
      <c r="A32" s="10" t="s">
        <v>209</v>
      </c>
      <c r="B32" s="10" t="s">
        <v>25</v>
      </c>
      <c r="C32" s="8" t="s">
        <v>55</v>
      </c>
      <c r="D32" s="8" t="s">
        <v>536</v>
      </c>
      <c r="E32" s="55">
        <v>42900</v>
      </c>
      <c r="F32" s="55">
        <v>42903</v>
      </c>
      <c r="G32" s="10" t="s">
        <v>544</v>
      </c>
      <c r="H32" s="74"/>
      <c r="I32" s="102"/>
      <c r="J32" s="27">
        <f>125+100</f>
        <v>225</v>
      </c>
      <c r="K32" s="28"/>
      <c r="L32" s="113"/>
      <c r="M32" s="27"/>
      <c r="N32" s="27"/>
      <c r="O32" s="26">
        <f t="shared" ref="O32:O35" si="2">SUM(J32:N32)</f>
        <v>225</v>
      </c>
      <c r="P32" s="27"/>
      <c r="Q32" s="27"/>
      <c r="R32" s="26">
        <f t="shared" si="1"/>
        <v>225</v>
      </c>
      <c r="S32" s="117"/>
    </row>
    <row r="33" spans="1:19" s="12" customFormat="1" ht="12" x14ac:dyDescent="0.2">
      <c r="A33" s="10" t="s">
        <v>431</v>
      </c>
      <c r="B33" s="10" t="s">
        <v>25</v>
      </c>
      <c r="C33" s="8" t="s">
        <v>55</v>
      </c>
      <c r="D33" s="8" t="s">
        <v>536</v>
      </c>
      <c r="E33" s="55">
        <v>42900</v>
      </c>
      <c r="F33" s="55">
        <v>42903</v>
      </c>
      <c r="G33" s="10" t="s">
        <v>545</v>
      </c>
      <c r="H33" s="74"/>
      <c r="I33" s="102"/>
      <c r="J33" s="27">
        <v>234.25</v>
      </c>
      <c r="K33" s="28"/>
      <c r="L33" s="113"/>
      <c r="M33" s="27"/>
      <c r="N33" s="27"/>
      <c r="O33" s="26">
        <f t="shared" si="2"/>
        <v>234.25</v>
      </c>
      <c r="P33" s="27"/>
      <c r="Q33" s="27"/>
      <c r="R33" s="26">
        <f t="shared" ref="R33:R37" si="3">SUM(O33:Q33)</f>
        <v>234.25</v>
      </c>
      <c r="S33" s="117"/>
    </row>
    <row r="34" spans="1:19" s="12" customFormat="1" ht="12" x14ac:dyDescent="0.2">
      <c r="A34" s="10" t="s">
        <v>209</v>
      </c>
      <c r="B34" s="10" t="s">
        <v>25</v>
      </c>
      <c r="C34" s="8" t="s">
        <v>55</v>
      </c>
      <c r="D34" s="8" t="s">
        <v>536</v>
      </c>
      <c r="E34" s="55">
        <v>42900</v>
      </c>
      <c r="F34" s="55">
        <v>42903</v>
      </c>
      <c r="G34" s="10" t="s">
        <v>545</v>
      </c>
      <c r="H34" s="74"/>
      <c r="I34" s="102"/>
      <c r="J34" s="27">
        <v>234.25</v>
      </c>
      <c r="K34" s="28"/>
      <c r="L34" s="113"/>
      <c r="M34" s="27"/>
      <c r="N34" s="27"/>
      <c r="O34" s="26">
        <f t="shared" si="2"/>
        <v>234.25</v>
      </c>
      <c r="P34" s="27"/>
      <c r="Q34" s="27"/>
      <c r="R34" s="26">
        <f t="shared" si="3"/>
        <v>234.25</v>
      </c>
      <c r="S34" s="117"/>
    </row>
    <row r="35" spans="1:19" s="9" customFormat="1" ht="12" hidden="1" x14ac:dyDescent="0.2">
      <c r="A35" s="14" t="s">
        <v>38</v>
      </c>
      <c r="B35" s="13" t="s">
        <v>167</v>
      </c>
      <c r="C35" s="11" t="s">
        <v>312</v>
      </c>
      <c r="D35" s="18" t="s">
        <v>482</v>
      </c>
      <c r="E35" s="58">
        <v>42832</v>
      </c>
      <c r="F35" s="58">
        <v>42832</v>
      </c>
      <c r="G35" s="10" t="s">
        <v>529</v>
      </c>
      <c r="H35" s="52"/>
      <c r="I35" s="74"/>
      <c r="J35" s="28"/>
      <c r="K35" s="28">
        <f>80+59.6</f>
        <v>139.6</v>
      </c>
      <c r="L35" s="28"/>
      <c r="M35" s="28"/>
      <c r="N35" s="28"/>
      <c r="O35" s="26">
        <f t="shared" si="2"/>
        <v>139.6</v>
      </c>
      <c r="P35" s="27"/>
      <c r="Q35" s="27"/>
      <c r="R35" s="26">
        <f t="shared" si="3"/>
        <v>139.6</v>
      </c>
      <c r="S35" s="12"/>
    </row>
    <row r="36" spans="1:19" s="9" customFormat="1" ht="12" hidden="1" x14ac:dyDescent="0.2">
      <c r="A36" s="14" t="s">
        <v>38</v>
      </c>
      <c r="B36" s="13" t="s">
        <v>167</v>
      </c>
      <c r="C36" s="8" t="s">
        <v>409</v>
      </c>
      <c r="D36" s="8" t="s">
        <v>530</v>
      </c>
      <c r="E36" s="55">
        <v>42864</v>
      </c>
      <c r="F36" s="55">
        <v>42864</v>
      </c>
      <c r="G36" s="10" t="s">
        <v>326</v>
      </c>
      <c r="H36" s="27"/>
      <c r="I36" s="74"/>
      <c r="J36" s="27"/>
      <c r="K36" s="46">
        <v>38.479999999999997</v>
      </c>
      <c r="L36" s="113"/>
      <c r="M36" s="27"/>
      <c r="N36" s="27"/>
      <c r="O36" s="26">
        <f t="shared" ref="O36" si="4">SUM(J36:N36)</f>
        <v>38.479999999999997</v>
      </c>
      <c r="P36" s="27"/>
      <c r="Q36" s="27"/>
      <c r="R36" s="26">
        <f t="shared" si="3"/>
        <v>38.479999999999997</v>
      </c>
      <c r="S36" s="87"/>
    </row>
    <row r="37" spans="1:19" s="9" customFormat="1" ht="12" hidden="1" x14ac:dyDescent="0.2">
      <c r="A37" s="14" t="s">
        <v>38</v>
      </c>
      <c r="B37" s="13" t="s">
        <v>167</v>
      </c>
      <c r="C37" s="8" t="s">
        <v>409</v>
      </c>
      <c r="D37" s="8" t="s">
        <v>530</v>
      </c>
      <c r="E37" s="55">
        <v>42865</v>
      </c>
      <c r="F37" s="55">
        <v>42865</v>
      </c>
      <c r="G37" s="13" t="s">
        <v>491</v>
      </c>
      <c r="H37" s="7"/>
      <c r="I37" s="7"/>
      <c r="J37" s="7"/>
      <c r="K37" s="46">
        <v>100.48</v>
      </c>
      <c r="L37" s="114"/>
      <c r="M37" s="46"/>
      <c r="N37" s="46"/>
      <c r="O37" s="26">
        <f t="shared" si="0"/>
        <v>100.48</v>
      </c>
      <c r="P37" s="46"/>
      <c r="Q37" s="46"/>
      <c r="R37" s="26">
        <f t="shared" si="3"/>
        <v>100.48</v>
      </c>
    </row>
    <row r="38" spans="1:19" s="9" customFormat="1" ht="12" hidden="1" x14ac:dyDescent="0.2">
      <c r="A38" s="14" t="s">
        <v>38</v>
      </c>
      <c r="B38" s="13" t="s">
        <v>167</v>
      </c>
      <c r="C38" s="8" t="s">
        <v>409</v>
      </c>
      <c r="D38" s="8" t="s">
        <v>530</v>
      </c>
      <c r="E38" s="55">
        <v>42866</v>
      </c>
      <c r="F38" s="55">
        <v>42866</v>
      </c>
      <c r="G38" s="13" t="s">
        <v>166</v>
      </c>
      <c r="H38" s="74"/>
      <c r="I38" s="102"/>
      <c r="J38" s="27"/>
      <c r="K38" s="28">
        <v>74.959999999999994</v>
      </c>
      <c r="L38" s="113"/>
      <c r="M38" s="46"/>
      <c r="N38" s="27"/>
      <c r="O38" s="26">
        <f t="shared" si="0"/>
        <v>74.959999999999994</v>
      </c>
      <c r="P38" s="27"/>
      <c r="Q38" s="27"/>
      <c r="R38" s="26">
        <f t="shared" si="1"/>
        <v>74.959999999999994</v>
      </c>
      <c r="S38" s="12"/>
    </row>
    <row r="39" spans="1:19" s="9" customFormat="1" ht="12" hidden="1" x14ac:dyDescent="0.2">
      <c r="A39" s="14" t="s">
        <v>38</v>
      </c>
      <c r="B39" s="13" t="s">
        <v>167</v>
      </c>
      <c r="C39" s="11" t="s">
        <v>240</v>
      </c>
      <c r="D39" s="8" t="s">
        <v>546</v>
      </c>
      <c r="E39" s="55">
        <v>42856</v>
      </c>
      <c r="F39" s="55">
        <v>42856</v>
      </c>
      <c r="G39" s="13" t="s">
        <v>18</v>
      </c>
      <c r="H39" s="74"/>
      <c r="I39" s="102"/>
      <c r="J39" s="27"/>
      <c r="K39" s="28"/>
      <c r="L39" s="113"/>
      <c r="M39" s="46"/>
      <c r="N39" s="27">
        <f>8+8</f>
        <v>16</v>
      </c>
      <c r="O39" s="26">
        <f t="shared" ref="O39" si="5">SUM(J39:N39)</f>
        <v>16</v>
      </c>
      <c r="P39" s="27"/>
      <c r="Q39" s="27"/>
      <c r="R39" s="26">
        <f t="shared" ref="R39" si="6">SUM(O39:Q39)</f>
        <v>16</v>
      </c>
      <c r="S39" s="12"/>
    </row>
    <row r="40" spans="1:19" s="9" customFormat="1" ht="12" hidden="1" x14ac:dyDescent="0.2">
      <c r="A40" s="14" t="s">
        <v>38</v>
      </c>
      <c r="B40" s="13" t="s">
        <v>167</v>
      </c>
      <c r="C40" s="11" t="s">
        <v>502</v>
      </c>
      <c r="D40" s="8" t="s">
        <v>547</v>
      </c>
      <c r="E40" s="55">
        <v>42873</v>
      </c>
      <c r="F40" s="55">
        <v>42873</v>
      </c>
      <c r="G40" s="13" t="s">
        <v>224</v>
      </c>
      <c r="H40" s="74"/>
      <c r="I40" s="102"/>
      <c r="J40" s="27"/>
      <c r="K40" s="28"/>
      <c r="L40" s="113"/>
      <c r="M40" s="46"/>
      <c r="N40" s="27">
        <v>23.01</v>
      </c>
      <c r="O40" s="26">
        <f t="shared" ref="O40:O43" si="7">SUM(J40:N40)</f>
        <v>23.01</v>
      </c>
      <c r="P40" s="27"/>
      <c r="Q40" s="27"/>
      <c r="R40" s="26">
        <f t="shared" ref="R40:R43" si="8">SUM(O40:Q40)</f>
        <v>23.01</v>
      </c>
      <c r="S40" s="12"/>
    </row>
    <row r="41" spans="1:19" s="9" customFormat="1" ht="12" hidden="1" x14ac:dyDescent="0.2">
      <c r="A41" s="14" t="s">
        <v>38</v>
      </c>
      <c r="B41" s="13" t="s">
        <v>167</v>
      </c>
      <c r="C41" s="11" t="s">
        <v>240</v>
      </c>
      <c r="D41" s="8" t="s">
        <v>548</v>
      </c>
      <c r="E41" s="55">
        <v>42884</v>
      </c>
      <c r="F41" s="55">
        <v>42884</v>
      </c>
      <c r="G41" s="13" t="s">
        <v>18</v>
      </c>
      <c r="H41" s="74"/>
      <c r="I41" s="102"/>
      <c r="J41" s="27"/>
      <c r="K41" s="28"/>
      <c r="L41" s="113"/>
      <c r="M41" s="46"/>
      <c r="N41" s="27">
        <v>10</v>
      </c>
      <c r="O41" s="26">
        <f t="shared" si="7"/>
        <v>10</v>
      </c>
      <c r="P41" s="27"/>
      <c r="Q41" s="27"/>
      <c r="R41" s="26">
        <f t="shared" si="8"/>
        <v>10</v>
      </c>
      <c r="S41" s="12"/>
    </row>
    <row r="42" spans="1:19" s="9" customFormat="1" ht="12" hidden="1" x14ac:dyDescent="0.2">
      <c r="A42" s="14" t="s">
        <v>372</v>
      </c>
      <c r="B42" s="8" t="s">
        <v>487</v>
      </c>
      <c r="C42" s="8" t="s">
        <v>188</v>
      </c>
      <c r="D42" s="8" t="s">
        <v>549</v>
      </c>
      <c r="E42" s="55">
        <v>42871</v>
      </c>
      <c r="F42" s="55">
        <v>42872</v>
      </c>
      <c r="G42" s="13" t="s">
        <v>493</v>
      </c>
      <c r="H42" s="74"/>
      <c r="I42" s="102"/>
      <c r="J42" s="27"/>
      <c r="K42" s="28"/>
      <c r="L42" s="113">
        <v>620.04999999999995</v>
      </c>
      <c r="M42" s="46"/>
      <c r="N42" s="27"/>
      <c r="O42" s="26">
        <f t="shared" si="7"/>
        <v>620.04999999999995</v>
      </c>
      <c r="P42" s="27"/>
      <c r="Q42" s="27"/>
      <c r="R42" s="26">
        <f t="shared" si="8"/>
        <v>620.04999999999995</v>
      </c>
      <c r="S42" s="12"/>
    </row>
    <row r="43" spans="1:19" s="9" customFormat="1" ht="12" hidden="1" x14ac:dyDescent="0.2">
      <c r="A43" s="7" t="s">
        <v>372</v>
      </c>
      <c r="B43" s="8" t="s">
        <v>487</v>
      </c>
      <c r="C43" s="8" t="s">
        <v>157</v>
      </c>
      <c r="D43" s="8" t="s">
        <v>575</v>
      </c>
      <c r="E43" s="55">
        <v>42844</v>
      </c>
      <c r="F43" s="55">
        <v>42847</v>
      </c>
      <c r="G43" s="13" t="s">
        <v>493</v>
      </c>
      <c r="H43" s="27"/>
      <c r="I43" s="74"/>
      <c r="J43" s="27"/>
      <c r="K43" s="28">
        <f>195.65+12.8</f>
        <v>208.45000000000002</v>
      </c>
      <c r="L43" s="113"/>
      <c r="M43" s="27">
        <v>226.3</v>
      </c>
      <c r="N43" s="27"/>
      <c r="O43" s="26">
        <f t="shared" si="7"/>
        <v>434.75</v>
      </c>
      <c r="P43" s="27"/>
      <c r="Q43" s="27"/>
      <c r="R43" s="26">
        <f t="shared" si="8"/>
        <v>434.75</v>
      </c>
      <c r="S43" s="87"/>
    </row>
    <row r="44" spans="1:19" s="9" customFormat="1" ht="12" hidden="1" x14ac:dyDescent="0.2">
      <c r="A44" s="10" t="s">
        <v>31</v>
      </c>
      <c r="B44" s="13" t="s">
        <v>414</v>
      </c>
      <c r="C44" s="11" t="s">
        <v>288</v>
      </c>
      <c r="D44" s="20" t="s">
        <v>571</v>
      </c>
      <c r="E44" s="55">
        <v>42822</v>
      </c>
      <c r="F44" s="55">
        <v>42823</v>
      </c>
      <c r="G44" s="10" t="s">
        <v>47</v>
      </c>
      <c r="H44" s="27"/>
      <c r="I44" s="74"/>
      <c r="J44" s="27">
        <v>75</v>
      </c>
      <c r="K44" s="140"/>
      <c r="L44" s="113"/>
      <c r="M44" s="27"/>
      <c r="N44" s="27"/>
      <c r="O44" s="26">
        <f t="shared" si="0"/>
        <v>75</v>
      </c>
      <c r="P44" s="27"/>
      <c r="Q44" s="27"/>
      <c r="R44" s="26">
        <f t="shared" si="1"/>
        <v>75</v>
      </c>
      <c r="S44" s="87"/>
    </row>
    <row r="45" spans="1:19" s="9" customFormat="1" ht="12" hidden="1" x14ac:dyDescent="0.2">
      <c r="A45" s="10" t="s">
        <v>31</v>
      </c>
      <c r="B45" s="13" t="s">
        <v>414</v>
      </c>
      <c r="C45" s="8" t="s">
        <v>188</v>
      </c>
      <c r="D45" s="8" t="s">
        <v>560</v>
      </c>
      <c r="E45" s="55">
        <v>42829</v>
      </c>
      <c r="F45" s="55">
        <v>42832</v>
      </c>
      <c r="G45" s="13" t="s">
        <v>490</v>
      </c>
      <c r="H45" s="27"/>
      <c r="I45" s="74"/>
      <c r="J45" s="27">
        <v>301.85000000000002</v>
      </c>
      <c r="K45" s="28">
        <f>24.28+20.87+25.83+27.89-24.28</f>
        <v>74.59</v>
      </c>
      <c r="L45" s="113"/>
      <c r="M45" s="27"/>
      <c r="N45" s="27"/>
      <c r="O45" s="26">
        <f t="shared" si="0"/>
        <v>376.44000000000005</v>
      </c>
      <c r="P45" s="27"/>
      <c r="Q45" s="27"/>
      <c r="R45" s="26">
        <f t="shared" si="1"/>
        <v>376.44000000000005</v>
      </c>
      <c r="S45" s="87"/>
    </row>
    <row r="46" spans="1:19" s="9" customFormat="1" ht="12" hidden="1" x14ac:dyDescent="0.2">
      <c r="A46" s="10" t="s">
        <v>31</v>
      </c>
      <c r="B46" s="13" t="s">
        <v>414</v>
      </c>
      <c r="C46" s="8" t="s">
        <v>288</v>
      </c>
      <c r="D46" s="8" t="s">
        <v>570</v>
      </c>
      <c r="E46" s="55">
        <v>42865</v>
      </c>
      <c r="F46" s="55">
        <v>42867</v>
      </c>
      <c r="G46" s="13" t="s">
        <v>531</v>
      </c>
      <c r="H46" s="27"/>
      <c r="I46" s="74"/>
      <c r="J46" s="28"/>
      <c r="K46" s="28">
        <v>55</v>
      </c>
      <c r="L46" s="113"/>
      <c r="M46" s="28"/>
      <c r="N46" s="28"/>
      <c r="O46" s="26">
        <f t="shared" ref="O46" si="9">SUM(J46:N46)</f>
        <v>55</v>
      </c>
      <c r="P46" s="27"/>
      <c r="Q46" s="27"/>
      <c r="R46" s="26">
        <f t="shared" ref="R46" si="10">SUM(O46:Q46)</f>
        <v>55</v>
      </c>
      <c r="S46" s="12"/>
    </row>
    <row r="47" spans="1:19" s="9" customFormat="1" ht="12" hidden="1" x14ac:dyDescent="0.2">
      <c r="A47" s="10" t="s">
        <v>31</v>
      </c>
      <c r="B47" s="13" t="s">
        <v>414</v>
      </c>
      <c r="C47" s="8" t="s">
        <v>288</v>
      </c>
      <c r="D47" s="8" t="s">
        <v>574</v>
      </c>
      <c r="E47" s="55">
        <v>43024</v>
      </c>
      <c r="F47" s="55">
        <v>43026</v>
      </c>
      <c r="G47" s="10" t="s">
        <v>532</v>
      </c>
      <c r="H47" s="27"/>
      <c r="I47" s="74"/>
      <c r="J47" s="28">
        <v>347.73</v>
      </c>
      <c r="K47" s="28"/>
      <c r="L47" s="113">
        <v>410.71</v>
      </c>
      <c r="M47" s="28"/>
      <c r="N47" s="28"/>
      <c r="O47" s="26">
        <f t="shared" ref="O47:O48" si="11">SUM(J47:N47)</f>
        <v>758.44</v>
      </c>
      <c r="P47" s="27"/>
      <c r="Q47" s="27"/>
      <c r="R47" s="26">
        <f t="shared" ref="R47:R48" si="12">SUM(O47:Q47)</f>
        <v>758.44</v>
      </c>
      <c r="S47" s="12"/>
    </row>
    <row r="48" spans="1:19" s="9" customFormat="1" ht="12" hidden="1" x14ac:dyDescent="0.2">
      <c r="A48" s="10" t="s">
        <v>31</v>
      </c>
      <c r="B48" s="13" t="s">
        <v>414</v>
      </c>
      <c r="C48" s="8" t="s">
        <v>288</v>
      </c>
      <c r="D48" s="8" t="s">
        <v>559</v>
      </c>
      <c r="E48" s="55">
        <v>42866</v>
      </c>
      <c r="F48" s="55">
        <v>42866</v>
      </c>
      <c r="G48" s="10" t="s">
        <v>47</v>
      </c>
      <c r="H48" s="27"/>
      <c r="I48" s="74"/>
      <c r="J48" s="28"/>
      <c r="K48" s="28">
        <v>40</v>
      </c>
      <c r="L48" s="113"/>
      <c r="M48" s="28"/>
      <c r="N48" s="28"/>
      <c r="O48" s="26">
        <f t="shared" si="11"/>
        <v>40</v>
      </c>
      <c r="P48" s="27"/>
      <c r="Q48" s="27"/>
      <c r="R48" s="26">
        <f t="shared" si="12"/>
        <v>40</v>
      </c>
      <c r="S48" s="12"/>
    </row>
    <row r="49" spans="1:19" s="9" customFormat="1" ht="12" hidden="1" x14ac:dyDescent="0.2">
      <c r="A49" s="10" t="s">
        <v>31</v>
      </c>
      <c r="B49" s="13" t="s">
        <v>414</v>
      </c>
      <c r="C49" s="8" t="s">
        <v>288</v>
      </c>
      <c r="D49" s="8" t="s">
        <v>562</v>
      </c>
      <c r="E49" s="55">
        <v>42896</v>
      </c>
      <c r="F49" s="55">
        <v>42899</v>
      </c>
      <c r="G49" s="10" t="s">
        <v>550</v>
      </c>
      <c r="H49" s="27"/>
      <c r="I49" s="74"/>
      <c r="J49" s="28">
        <v>405.5</v>
      </c>
      <c r="K49" s="28"/>
      <c r="L49" s="113"/>
      <c r="M49" s="28"/>
      <c r="N49" s="28"/>
      <c r="O49" s="26">
        <f t="shared" ref="O49" si="13">SUM(J49:N49)</f>
        <v>405.5</v>
      </c>
      <c r="P49" s="27"/>
      <c r="Q49" s="27"/>
      <c r="R49" s="26">
        <f t="shared" ref="R49" si="14">SUM(O49:Q49)</f>
        <v>405.5</v>
      </c>
      <c r="S49" s="12"/>
    </row>
    <row r="50" spans="1:19" s="9" customFormat="1" ht="12" hidden="1" x14ac:dyDescent="0.2">
      <c r="A50" s="10" t="s">
        <v>31</v>
      </c>
      <c r="B50" s="13" t="s">
        <v>414</v>
      </c>
      <c r="C50" s="8" t="s">
        <v>288</v>
      </c>
      <c r="D50" s="8" t="s">
        <v>572</v>
      </c>
      <c r="E50" s="55">
        <v>42894</v>
      </c>
      <c r="F50" s="55">
        <v>42894</v>
      </c>
      <c r="G50" s="10" t="s">
        <v>47</v>
      </c>
      <c r="H50" s="27"/>
      <c r="I50" s="74"/>
      <c r="J50" s="28">
        <v>669.24</v>
      </c>
      <c r="K50" s="28"/>
      <c r="L50" s="113"/>
      <c r="M50" s="28"/>
      <c r="N50" s="28"/>
      <c r="O50" s="26">
        <f t="shared" ref="O50:O51" si="15">SUM(J50:N50)</f>
        <v>669.24</v>
      </c>
      <c r="P50" s="27"/>
      <c r="Q50" s="27"/>
      <c r="R50" s="26">
        <f t="shared" ref="R50:R51" si="16">SUM(O50:Q50)</f>
        <v>669.24</v>
      </c>
      <c r="S50" s="12"/>
    </row>
    <row r="51" spans="1:19" s="9" customFormat="1" ht="12" hidden="1" x14ac:dyDescent="0.2">
      <c r="A51" s="10" t="s">
        <v>31</v>
      </c>
      <c r="B51" s="13" t="s">
        <v>414</v>
      </c>
      <c r="C51" s="8" t="s">
        <v>288</v>
      </c>
      <c r="D51" s="8" t="s">
        <v>551</v>
      </c>
      <c r="E51" s="55">
        <v>42864</v>
      </c>
      <c r="F51" s="55">
        <v>42866</v>
      </c>
      <c r="G51" s="10" t="s">
        <v>47</v>
      </c>
      <c r="H51" s="27"/>
      <c r="I51" s="74"/>
      <c r="J51" s="28">
        <v>33.9</v>
      </c>
      <c r="K51" s="28">
        <f>15.53+29.25+9.87+9.98+51.06+14.82</f>
        <v>130.51</v>
      </c>
      <c r="L51" s="113">
        <v>129</v>
      </c>
      <c r="M51" s="28"/>
      <c r="N51" s="28"/>
      <c r="O51" s="26">
        <f t="shared" si="15"/>
        <v>293.40999999999997</v>
      </c>
      <c r="P51" s="27"/>
      <c r="Q51" s="27"/>
      <c r="R51" s="26">
        <f t="shared" si="16"/>
        <v>293.40999999999997</v>
      </c>
      <c r="S51" s="12"/>
    </row>
    <row r="52" spans="1:19" s="9" customFormat="1" ht="12" hidden="1" x14ac:dyDescent="0.2">
      <c r="A52" s="10" t="s">
        <v>31</v>
      </c>
      <c r="B52" s="13" t="s">
        <v>414</v>
      </c>
      <c r="C52" s="8" t="s">
        <v>130</v>
      </c>
      <c r="D52" s="8" t="s">
        <v>552</v>
      </c>
      <c r="E52" s="55">
        <v>42887</v>
      </c>
      <c r="F52" s="55">
        <v>42887</v>
      </c>
      <c r="G52" s="10" t="s">
        <v>18</v>
      </c>
      <c r="H52" s="27"/>
      <c r="I52" s="74"/>
      <c r="J52" s="28"/>
      <c r="K52" s="28"/>
      <c r="L52" s="113">
        <v>81.25</v>
      </c>
      <c r="M52" s="28"/>
      <c r="N52" s="28"/>
      <c r="O52" s="26">
        <f t="shared" ref="O52" si="17">SUM(J52:N52)</f>
        <v>81.25</v>
      </c>
      <c r="P52" s="27"/>
      <c r="Q52" s="27"/>
      <c r="R52" s="26">
        <f t="shared" ref="R52" si="18">SUM(O52:Q52)</f>
        <v>81.25</v>
      </c>
      <c r="S52" s="12"/>
    </row>
    <row r="53" spans="1:19" s="9" customFormat="1" ht="36" hidden="1" x14ac:dyDescent="0.2">
      <c r="A53" s="7" t="s">
        <v>389</v>
      </c>
      <c r="B53" s="8" t="s">
        <v>34</v>
      </c>
      <c r="C53" s="8" t="s">
        <v>409</v>
      </c>
      <c r="D53" s="8" t="s">
        <v>565</v>
      </c>
      <c r="E53" s="55">
        <v>42863</v>
      </c>
      <c r="F53" s="55">
        <v>42867</v>
      </c>
      <c r="G53" s="13" t="s">
        <v>557</v>
      </c>
      <c r="H53" s="27"/>
      <c r="I53" s="74"/>
      <c r="J53" s="28"/>
      <c r="K53" s="28">
        <v>12.1</v>
      </c>
      <c r="L53" s="113">
        <f>129+198+129</f>
        <v>456</v>
      </c>
      <c r="M53" s="28">
        <v>79.64</v>
      </c>
      <c r="N53" s="28"/>
      <c r="O53" s="26">
        <f t="shared" ref="O53:O54" si="19">SUM(J53:N53)</f>
        <v>547.74</v>
      </c>
      <c r="P53" s="27"/>
      <c r="Q53" s="27"/>
      <c r="R53" s="26">
        <f t="shared" ref="R53:R54" si="20">SUM(O53:Q53)</f>
        <v>547.74</v>
      </c>
      <c r="S53" s="12"/>
    </row>
    <row r="54" spans="1:19" s="9" customFormat="1" ht="12" hidden="1" x14ac:dyDescent="0.2">
      <c r="A54" s="7" t="s">
        <v>389</v>
      </c>
      <c r="B54" s="8" t="s">
        <v>34</v>
      </c>
      <c r="C54" s="8" t="s">
        <v>409</v>
      </c>
      <c r="D54" s="8" t="s">
        <v>565</v>
      </c>
      <c r="E54" s="55">
        <v>42867</v>
      </c>
      <c r="F54" s="55">
        <v>42868</v>
      </c>
      <c r="G54" s="13" t="s">
        <v>99</v>
      </c>
      <c r="H54" s="27"/>
      <c r="I54" s="74"/>
      <c r="J54" s="28">
        <f>174.12+96.12+10</f>
        <v>280.24</v>
      </c>
      <c r="K54" s="28">
        <f>25.5+16.2</f>
        <v>41.7</v>
      </c>
      <c r="L54" s="113">
        <v>135</v>
      </c>
      <c r="M54" s="28">
        <v>28.76</v>
      </c>
      <c r="N54" s="28"/>
      <c r="O54" s="26">
        <f t="shared" si="19"/>
        <v>485.7</v>
      </c>
      <c r="P54" s="27"/>
      <c r="Q54" s="27"/>
      <c r="R54" s="26">
        <f t="shared" si="20"/>
        <v>485.7</v>
      </c>
      <c r="S54" s="12"/>
    </row>
    <row r="55" spans="1:19" s="9" customFormat="1" ht="12" hidden="1" x14ac:dyDescent="0.2">
      <c r="A55" s="7" t="s">
        <v>389</v>
      </c>
      <c r="B55" s="8" t="s">
        <v>34</v>
      </c>
      <c r="C55" s="8" t="s">
        <v>409</v>
      </c>
      <c r="D55" s="8" t="s">
        <v>564</v>
      </c>
      <c r="E55" s="55">
        <v>42857</v>
      </c>
      <c r="F55" s="55">
        <v>42858</v>
      </c>
      <c r="G55" s="13" t="s">
        <v>327</v>
      </c>
      <c r="H55" s="27"/>
      <c r="I55" s="74"/>
      <c r="J55" s="28">
        <f>218.12+10+193.12+10-218.12-10</f>
        <v>203.12</v>
      </c>
      <c r="L55" s="113"/>
      <c r="M55" s="28"/>
      <c r="N55" s="28"/>
      <c r="O55" s="26">
        <f t="shared" ref="O55" si="21">SUM(J55:N55)</f>
        <v>203.12</v>
      </c>
      <c r="P55" s="27"/>
      <c r="Q55" s="27"/>
      <c r="R55" s="26">
        <f t="shared" ref="R55" si="22">SUM(O55:Q55)</f>
        <v>203.12</v>
      </c>
      <c r="S55" s="12"/>
    </row>
    <row r="56" spans="1:19" s="9" customFormat="1" ht="12" hidden="1" x14ac:dyDescent="0.2">
      <c r="A56" s="7" t="s">
        <v>389</v>
      </c>
      <c r="B56" s="8"/>
      <c r="C56" s="8" t="s">
        <v>409</v>
      </c>
      <c r="D56" s="8" t="s">
        <v>566</v>
      </c>
      <c r="E56" s="55">
        <v>42868</v>
      </c>
      <c r="F56" s="55">
        <v>42868</v>
      </c>
      <c r="G56" s="13" t="s">
        <v>99</v>
      </c>
      <c r="H56" s="27"/>
      <c r="I56" s="74"/>
      <c r="J56" s="28"/>
      <c r="K56" s="28">
        <v>16.2</v>
      </c>
      <c r="L56" s="113"/>
      <c r="M56" s="28"/>
      <c r="N56" s="28"/>
      <c r="O56" s="26">
        <f t="shared" ref="O56" si="23">SUM(J56:N56)</f>
        <v>16.2</v>
      </c>
      <c r="P56" s="27"/>
      <c r="Q56" s="27"/>
      <c r="R56" s="26">
        <f t="shared" ref="R56" si="24">SUM(O56:Q56)</f>
        <v>16.2</v>
      </c>
      <c r="S56" s="12"/>
    </row>
    <row r="57" spans="1:19" s="9" customFormat="1" ht="12" hidden="1" x14ac:dyDescent="0.2">
      <c r="A57" s="7" t="s">
        <v>389</v>
      </c>
      <c r="B57" s="8" t="s">
        <v>34</v>
      </c>
      <c r="C57" s="8" t="s">
        <v>409</v>
      </c>
      <c r="D57" s="8" t="s">
        <v>567</v>
      </c>
      <c r="E57" s="55">
        <v>42860</v>
      </c>
      <c r="F57" s="55">
        <v>42861</v>
      </c>
      <c r="G57" s="13" t="s">
        <v>118</v>
      </c>
      <c r="H57" s="27"/>
      <c r="I57" s="74"/>
      <c r="J57" s="28">
        <f>147.12+113.12+15+20</f>
        <v>295.24</v>
      </c>
      <c r="K57" s="28"/>
      <c r="L57" s="113"/>
      <c r="M57" s="28"/>
      <c r="N57" s="28"/>
      <c r="O57" s="26">
        <f t="shared" ref="O57" si="25">SUM(J57:N57)</f>
        <v>295.24</v>
      </c>
      <c r="P57" s="27"/>
      <c r="Q57" s="27"/>
      <c r="R57" s="26">
        <f t="shared" ref="R57" si="26">SUM(O57:Q57)</f>
        <v>295.24</v>
      </c>
      <c r="S57" s="12"/>
    </row>
    <row r="58" spans="1:19" s="9" customFormat="1" ht="12" hidden="1" x14ac:dyDescent="0.2">
      <c r="A58" s="7" t="s">
        <v>389</v>
      </c>
      <c r="B58" s="8" t="s">
        <v>34</v>
      </c>
      <c r="C58" s="8" t="s">
        <v>481</v>
      </c>
      <c r="D58" s="8" t="s">
        <v>568</v>
      </c>
      <c r="E58" s="55">
        <v>42857</v>
      </c>
      <c r="F58" s="55">
        <v>42857</v>
      </c>
      <c r="G58" s="13" t="s">
        <v>18</v>
      </c>
      <c r="H58" s="27"/>
      <c r="I58" s="74"/>
      <c r="J58" s="28"/>
      <c r="K58" s="28">
        <v>46</v>
      </c>
      <c r="L58" s="113"/>
      <c r="M58" s="28"/>
      <c r="N58" s="28"/>
      <c r="O58" s="26">
        <f t="shared" ref="O58:O60" si="27">SUM(J58:N58)</f>
        <v>46</v>
      </c>
      <c r="P58" s="27"/>
      <c r="Q58" s="27"/>
      <c r="R58" s="26">
        <f t="shared" ref="R58:R60" si="28">SUM(O58:Q58)</f>
        <v>46</v>
      </c>
      <c r="S58" s="12"/>
    </row>
    <row r="59" spans="1:19" s="9" customFormat="1" ht="12" hidden="1" x14ac:dyDescent="0.2">
      <c r="A59" s="7" t="s">
        <v>389</v>
      </c>
      <c r="B59" s="8" t="s">
        <v>34</v>
      </c>
      <c r="C59" s="8" t="s">
        <v>409</v>
      </c>
      <c r="D59" s="8" t="s">
        <v>530</v>
      </c>
      <c r="E59" s="55">
        <v>42867</v>
      </c>
      <c r="F59" s="55">
        <v>42868</v>
      </c>
      <c r="G59" s="13" t="s">
        <v>155</v>
      </c>
      <c r="H59" s="27"/>
      <c r="I59" s="74"/>
      <c r="J59" s="28"/>
      <c r="K59" s="28">
        <v>25.5</v>
      </c>
      <c r="L59" s="113"/>
      <c r="M59" s="28"/>
      <c r="N59" s="28"/>
      <c r="O59" s="26">
        <f t="shared" si="27"/>
        <v>25.5</v>
      </c>
      <c r="P59" s="27"/>
      <c r="Q59" s="27"/>
      <c r="R59" s="26">
        <f t="shared" si="28"/>
        <v>25.5</v>
      </c>
      <c r="S59" s="12"/>
    </row>
    <row r="60" spans="1:19" s="9" customFormat="1" ht="12" hidden="1" x14ac:dyDescent="0.2">
      <c r="A60" s="7" t="s">
        <v>389</v>
      </c>
      <c r="B60" s="8" t="s">
        <v>34</v>
      </c>
      <c r="C60" s="8" t="s">
        <v>288</v>
      </c>
      <c r="D60" s="8" t="s">
        <v>573</v>
      </c>
      <c r="E60" s="55">
        <v>42877</v>
      </c>
      <c r="F60" s="55">
        <v>42879</v>
      </c>
      <c r="G60" s="13" t="s">
        <v>490</v>
      </c>
      <c r="H60" s="27"/>
      <c r="I60" s="74"/>
      <c r="J60" s="28">
        <v>57.76</v>
      </c>
      <c r="K60" s="28">
        <f>18.9+43.92+37.11</f>
        <v>99.93</v>
      </c>
      <c r="L60" s="113">
        <v>1325.5</v>
      </c>
      <c r="M60" s="28">
        <v>91.9</v>
      </c>
      <c r="N60" s="28"/>
      <c r="O60" s="26">
        <f t="shared" si="27"/>
        <v>1575.0900000000001</v>
      </c>
      <c r="P60" s="27"/>
      <c r="Q60" s="27"/>
      <c r="R60" s="26">
        <f t="shared" si="28"/>
        <v>1575.0900000000001</v>
      </c>
      <c r="S60" s="12"/>
    </row>
    <row r="61" spans="1:19" s="9" customFormat="1" ht="12" hidden="1" x14ac:dyDescent="0.2">
      <c r="A61" s="7" t="s">
        <v>389</v>
      </c>
      <c r="B61" s="8" t="s">
        <v>34</v>
      </c>
      <c r="C61" s="8" t="s">
        <v>288</v>
      </c>
      <c r="D61" s="8" t="s">
        <v>553</v>
      </c>
      <c r="E61" s="55">
        <v>42930</v>
      </c>
      <c r="F61" s="55">
        <v>42937</v>
      </c>
      <c r="G61" s="13" t="s">
        <v>554</v>
      </c>
      <c r="H61" s="27"/>
      <c r="I61" s="74"/>
      <c r="J61" s="28">
        <f>777.18+20</f>
        <v>797.18</v>
      </c>
      <c r="K61" s="28">
        <f>23</f>
        <v>23</v>
      </c>
      <c r="L61" s="113"/>
      <c r="M61" s="28"/>
      <c r="N61" s="28"/>
      <c r="O61" s="26">
        <f t="shared" ref="O61:O62" si="29">SUM(J61:N61)</f>
        <v>820.18</v>
      </c>
      <c r="P61" s="27"/>
      <c r="Q61" s="27"/>
      <c r="R61" s="26">
        <f t="shared" ref="R61:R62" si="30">SUM(O61:Q61)</f>
        <v>820.18</v>
      </c>
      <c r="S61" s="12"/>
    </row>
    <row r="62" spans="1:19" s="9" customFormat="1" ht="12" x14ac:dyDescent="0.2">
      <c r="A62" s="7" t="s">
        <v>359</v>
      </c>
      <c r="B62" s="8" t="s">
        <v>25</v>
      </c>
      <c r="C62" s="11" t="s">
        <v>312</v>
      </c>
      <c r="D62" s="8" t="s">
        <v>563</v>
      </c>
      <c r="E62" s="55">
        <v>42830</v>
      </c>
      <c r="F62" s="55">
        <v>42830</v>
      </c>
      <c r="G62" s="13" t="s">
        <v>18</v>
      </c>
      <c r="H62" s="27"/>
      <c r="I62" s="74"/>
      <c r="J62" s="28"/>
      <c r="K62" s="28">
        <v>28</v>
      </c>
      <c r="L62" s="113"/>
      <c r="M62" s="28"/>
      <c r="N62" s="28"/>
      <c r="O62" s="26">
        <f t="shared" si="29"/>
        <v>28</v>
      </c>
      <c r="P62" s="27"/>
      <c r="Q62" s="27"/>
      <c r="R62" s="26">
        <f t="shared" si="30"/>
        <v>28</v>
      </c>
      <c r="S62" s="12"/>
    </row>
  </sheetData>
  <autoFilter ref="A1:S62" xr:uid="{00000000-0009-0000-0000-000016000000}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6"/>
  <sheetViews>
    <sheetView workbookViewId="0">
      <selection activeCell="C46" sqref="C46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24" x14ac:dyDescent="0.2">
      <c r="A2" s="7" t="s">
        <v>389</v>
      </c>
      <c r="B2" s="8" t="s">
        <v>34</v>
      </c>
      <c r="C2" s="11" t="s">
        <v>288</v>
      </c>
      <c r="D2" s="8" t="s">
        <v>593</v>
      </c>
      <c r="E2" s="55">
        <v>42930</v>
      </c>
      <c r="F2" s="55">
        <v>42936</v>
      </c>
      <c r="G2" s="10" t="s">
        <v>590</v>
      </c>
      <c r="H2" s="102"/>
      <c r="I2" s="102"/>
      <c r="J2" s="113"/>
      <c r="K2" s="113">
        <f>24+91.34+71.81</f>
        <v>187.15</v>
      </c>
      <c r="L2" s="113">
        <v>1573.78</v>
      </c>
      <c r="M2" s="27">
        <v>129.86000000000001</v>
      </c>
      <c r="N2" s="27"/>
      <c r="O2" s="26">
        <f t="shared" ref="O2:O30" si="0">SUM(J2:N2)</f>
        <v>1890.79</v>
      </c>
      <c r="P2" s="27"/>
      <c r="Q2" s="27"/>
      <c r="R2" s="158">
        <f t="shared" ref="R2:R30" si="1">SUM(O2:Q2)</f>
        <v>1890.79</v>
      </c>
      <c r="S2" s="159"/>
      <c r="T2" s="160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409</v>
      </c>
      <c r="D3" s="8" t="s">
        <v>594</v>
      </c>
      <c r="E3" s="55">
        <v>43012</v>
      </c>
      <c r="F3" s="55">
        <v>43013</v>
      </c>
      <c r="G3" s="10" t="s">
        <v>47</v>
      </c>
      <c r="H3" s="74"/>
      <c r="I3" s="102"/>
      <c r="J3" s="113">
        <v>239.24</v>
      </c>
      <c r="K3" s="119"/>
      <c r="L3" s="113"/>
      <c r="M3" s="27"/>
      <c r="N3" s="27"/>
      <c r="O3" s="26">
        <f t="shared" si="0"/>
        <v>239.24</v>
      </c>
      <c r="P3" s="27"/>
      <c r="Q3" s="27"/>
      <c r="R3" s="158">
        <f t="shared" si="1"/>
        <v>239.24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409</v>
      </c>
      <c r="D4" s="8" t="s">
        <v>595</v>
      </c>
      <c r="E4" s="55">
        <v>43014</v>
      </c>
      <c r="F4" s="55">
        <v>43015</v>
      </c>
      <c r="G4" s="13" t="s">
        <v>99</v>
      </c>
      <c r="H4" s="74"/>
      <c r="I4" s="102"/>
      <c r="J4" s="113">
        <f>103.12+94.12+10</f>
        <v>207.24</v>
      </c>
      <c r="K4" s="113"/>
      <c r="L4" s="113"/>
      <c r="M4" s="27"/>
      <c r="N4" s="27"/>
      <c r="O4" s="26">
        <f t="shared" si="0"/>
        <v>207.24</v>
      </c>
      <c r="P4" s="27"/>
      <c r="Q4" s="27"/>
      <c r="R4" s="158">
        <f t="shared" si="1"/>
        <v>207.24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409</v>
      </c>
      <c r="D5" s="8" t="s">
        <v>596</v>
      </c>
      <c r="E5" s="55" t="s">
        <v>591</v>
      </c>
      <c r="F5" s="55">
        <v>43008</v>
      </c>
      <c r="G5" s="13" t="s">
        <v>118</v>
      </c>
      <c r="H5" s="74"/>
      <c r="I5" s="102"/>
      <c r="J5" s="113">
        <f>135.12+90.12</f>
        <v>225.24</v>
      </c>
      <c r="K5" s="113"/>
      <c r="L5" s="113">
        <v>139</v>
      </c>
      <c r="M5" s="27"/>
      <c r="N5" s="27"/>
      <c r="O5" s="26">
        <f t="shared" si="0"/>
        <v>364.24</v>
      </c>
      <c r="P5" s="27"/>
      <c r="Q5" s="27"/>
      <c r="R5" s="158">
        <f t="shared" si="1"/>
        <v>364.24</v>
      </c>
      <c r="S5" s="87"/>
      <c r="T5" s="160"/>
      <c r="U5" s="87"/>
      <c r="V5" s="87"/>
      <c r="X5" s="161"/>
    </row>
    <row r="6" spans="1:24" s="12" customFormat="1" ht="12" x14ac:dyDescent="0.2">
      <c r="A6" s="7" t="s">
        <v>31</v>
      </c>
      <c r="B6" s="170" t="s">
        <v>597</v>
      </c>
      <c r="C6" s="11" t="s">
        <v>107</v>
      </c>
      <c r="D6" s="8" t="s">
        <v>684</v>
      </c>
      <c r="E6" s="55">
        <v>42908</v>
      </c>
      <c r="F6" s="55">
        <v>42908</v>
      </c>
      <c r="G6" s="13" t="s">
        <v>18</v>
      </c>
      <c r="H6" s="165">
        <v>10</v>
      </c>
      <c r="I6" s="74"/>
      <c r="J6" s="113">
        <v>344.25</v>
      </c>
      <c r="K6" s="113"/>
      <c r="L6" s="113"/>
      <c r="M6" s="28"/>
      <c r="N6" s="28"/>
      <c r="O6" s="26">
        <f t="shared" si="0"/>
        <v>344.25</v>
      </c>
      <c r="P6" s="27">
        <v>103.96</v>
      </c>
      <c r="Q6" s="27"/>
      <c r="R6" s="158">
        <f t="shared" si="1"/>
        <v>448.21</v>
      </c>
      <c r="S6" s="87"/>
      <c r="T6" s="160"/>
      <c r="U6" s="87"/>
      <c r="V6" s="87"/>
    </row>
    <row r="7" spans="1:24" s="12" customFormat="1" ht="12" x14ac:dyDescent="0.2">
      <c r="A7" s="7" t="s">
        <v>31</v>
      </c>
      <c r="B7" s="170" t="s">
        <v>597</v>
      </c>
      <c r="C7" s="11" t="s">
        <v>107</v>
      </c>
      <c r="D7" s="8" t="s">
        <v>583</v>
      </c>
      <c r="E7" s="55">
        <v>42894</v>
      </c>
      <c r="F7" s="55">
        <v>42894</v>
      </c>
      <c r="G7" s="10" t="s">
        <v>47</v>
      </c>
      <c r="H7" s="27"/>
      <c r="I7" s="74"/>
      <c r="J7" s="113"/>
      <c r="K7" s="163">
        <v>26.55</v>
      </c>
      <c r="L7" s="113"/>
      <c r="M7" s="28"/>
      <c r="N7" s="28"/>
      <c r="O7" s="26">
        <f t="shared" si="0"/>
        <v>26.55</v>
      </c>
      <c r="P7" s="27"/>
      <c r="Q7" s="27"/>
      <c r="R7" s="158">
        <f t="shared" si="1"/>
        <v>26.55</v>
      </c>
      <c r="S7" s="87"/>
      <c r="T7" s="160"/>
      <c r="U7" s="87"/>
      <c r="V7" s="87"/>
    </row>
    <row r="8" spans="1:24" s="12" customFormat="1" ht="12" x14ac:dyDescent="0.2">
      <c r="A8" s="164" t="s">
        <v>31</v>
      </c>
      <c r="B8" s="170" t="s">
        <v>597</v>
      </c>
      <c r="C8" s="11" t="s">
        <v>288</v>
      </c>
      <c r="D8" s="8" t="s">
        <v>584</v>
      </c>
      <c r="E8" s="55">
        <v>42894</v>
      </c>
      <c r="F8" s="55">
        <v>42894</v>
      </c>
      <c r="G8" s="10" t="s">
        <v>47</v>
      </c>
      <c r="H8" s="27"/>
      <c r="I8" s="74"/>
      <c r="J8" s="113"/>
      <c r="K8" s="113">
        <v>21.28</v>
      </c>
      <c r="L8" s="113"/>
      <c r="M8" s="28"/>
      <c r="N8" s="28"/>
      <c r="O8" s="26">
        <f t="shared" si="0"/>
        <v>21.28</v>
      </c>
      <c r="P8" s="27"/>
      <c r="Q8" s="27"/>
      <c r="R8" s="158">
        <f t="shared" si="1"/>
        <v>21.28</v>
      </c>
      <c r="S8" s="87"/>
      <c r="T8" s="87"/>
      <c r="U8" s="87"/>
      <c r="V8" s="87"/>
    </row>
    <row r="9" spans="1:24" s="12" customFormat="1" ht="12" x14ac:dyDescent="0.2">
      <c r="A9" s="7" t="s">
        <v>31</v>
      </c>
      <c r="B9" s="170" t="s">
        <v>597</v>
      </c>
      <c r="C9" s="11" t="s">
        <v>288</v>
      </c>
      <c r="D9" s="8" t="s">
        <v>585</v>
      </c>
      <c r="E9" s="55">
        <v>42896</v>
      </c>
      <c r="F9" s="55">
        <v>42896</v>
      </c>
      <c r="G9" s="10" t="s">
        <v>586</v>
      </c>
      <c r="H9" s="74"/>
      <c r="I9" s="102"/>
      <c r="J9" s="113"/>
      <c r="K9" s="119">
        <v>20.7</v>
      </c>
      <c r="L9" s="113"/>
      <c r="M9" s="27"/>
      <c r="N9" s="27"/>
      <c r="O9" s="26">
        <f t="shared" si="0"/>
        <v>20.7</v>
      </c>
      <c r="P9" s="27"/>
      <c r="Q9" s="27"/>
      <c r="R9" s="158">
        <f t="shared" si="1"/>
        <v>20.7</v>
      </c>
      <c r="S9" s="87"/>
      <c r="T9" s="87"/>
      <c r="U9" s="87"/>
      <c r="V9" s="87"/>
    </row>
    <row r="10" spans="1:24" s="12" customFormat="1" ht="12" x14ac:dyDescent="0.2">
      <c r="A10" s="7" t="s">
        <v>31</v>
      </c>
      <c r="B10" s="170" t="s">
        <v>597</v>
      </c>
      <c r="C10" s="11" t="s">
        <v>288</v>
      </c>
      <c r="D10" s="8" t="s">
        <v>587</v>
      </c>
      <c r="E10" s="55">
        <v>42961</v>
      </c>
      <c r="F10" s="55">
        <v>42962</v>
      </c>
      <c r="G10" s="10" t="s">
        <v>47</v>
      </c>
      <c r="H10" s="74"/>
      <c r="I10" s="102"/>
      <c r="J10" s="113" t="s">
        <v>266</v>
      </c>
      <c r="K10" s="113">
        <f>125-40.5</f>
        <v>84.5</v>
      </c>
      <c r="L10" s="113"/>
      <c r="M10" s="27"/>
      <c r="N10" s="27"/>
      <c r="O10" s="26">
        <f t="shared" si="0"/>
        <v>84.5</v>
      </c>
      <c r="P10" s="27"/>
      <c r="Q10" s="27"/>
      <c r="R10" s="158">
        <f t="shared" si="1"/>
        <v>84.5</v>
      </c>
      <c r="S10" s="159"/>
      <c r="T10" s="87"/>
      <c r="U10" s="87"/>
      <c r="V10" s="87"/>
    </row>
    <row r="11" spans="1:24" s="12" customFormat="1" ht="12" x14ac:dyDescent="0.2">
      <c r="A11" s="7" t="s">
        <v>31</v>
      </c>
      <c r="B11" s="170" t="s">
        <v>597</v>
      </c>
      <c r="C11" s="11" t="s">
        <v>107</v>
      </c>
      <c r="D11" s="8" t="s">
        <v>588</v>
      </c>
      <c r="E11" s="55">
        <v>43004</v>
      </c>
      <c r="F11" s="55">
        <v>43007</v>
      </c>
      <c r="G11" s="10" t="s">
        <v>589</v>
      </c>
      <c r="H11" s="102"/>
      <c r="I11" s="102"/>
      <c r="J11" s="113">
        <f>457.97+205.27</f>
        <v>663.24</v>
      </c>
      <c r="K11" s="113"/>
      <c r="L11" s="113"/>
      <c r="M11" s="27"/>
      <c r="N11" s="27"/>
      <c r="O11" s="26">
        <f t="shared" si="0"/>
        <v>663.24</v>
      </c>
      <c r="P11" s="27"/>
      <c r="Q11" s="27"/>
      <c r="R11" s="158">
        <f t="shared" si="1"/>
        <v>663.24</v>
      </c>
      <c r="S11" s="159"/>
      <c r="T11" s="160"/>
      <c r="U11" s="87"/>
      <c r="V11" s="87"/>
    </row>
    <row r="12" spans="1:24" s="12" customFormat="1" ht="12" x14ac:dyDescent="0.2">
      <c r="A12" s="7" t="s">
        <v>432</v>
      </c>
      <c r="B12" s="10" t="s">
        <v>25</v>
      </c>
      <c r="C12" s="11" t="s">
        <v>55</v>
      </c>
      <c r="D12" s="11" t="s">
        <v>55</v>
      </c>
      <c r="E12" s="55">
        <v>42901</v>
      </c>
      <c r="F12" s="55">
        <v>42901</v>
      </c>
      <c r="G12" s="13" t="s">
        <v>18</v>
      </c>
      <c r="H12" s="27"/>
      <c r="I12" s="74"/>
      <c r="J12" s="113"/>
      <c r="K12" s="114">
        <v>20</v>
      </c>
      <c r="L12" s="113"/>
      <c r="M12" s="28"/>
      <c r="N12" s="28"/>
      <c r="O12" s="26">
        <f t="shared" si="0"/>
        <v>20</v>
      </c>
      <c r="P12" s="27"/>
      <c r="Q12" s="27"/>
      <c r="R12" s="158">
        <f t="shared" si="1"/>
        <v>20</v>
      </c>
      <c r="S12" s="159"/>
      <c r="T12" s="87"/>
      <c r="U12" s="87"/>
      <c r="V12" s="87"/>
    </row>
    <row r="13" spans="1:24" s="12" customFormat="1" ht="12" x14ac:dyDescent="0.2">
      <c r="A13" s="7" t="s">
        <v>374</v>
      </c>
      <c r="B13" s="14" t="s">
        <v>403</v>
      </c>
      <c r="C13" s="8" t="s">
        <v>157</v>
      </c>
      <c r="D13" s="8" t="s">
        <v>578</v>
      </c>
      <c r="E13" s="55">
        <v>42903</v>
      </c>
      <c r="F13" s="55">
        <v>42909</v>
      </c>
      <c r="G13" s="13" t="s">
        <v>490</v>
      </c>
      <c r="H13" s="27"/>
      <c r="I13" s="74"/>
      <c r="J13" s="113">
        <v>694.27</v>
      </c>
      <c r="K13" s="113">
        <f>79.63+28+65.48+46+57.28</f>
        <v>276.39</v>
      </c>
      <c r="L13" s="113">
        <v>371.73</v>
      </c>
      <c r="M13" s="28">
        <v>209.15</v>
      </c>
      <c r="N13" s="28"/>
      <c r="O13" s="26">
        <f t="shared" si="0"/>
        <v>1551.54</v>
      </c>
      <c r="P13" s="27"/>
      <c r="Q13" s="27"/>
      <c r="R13" s="158">
        <f t="shared" si="1"/>
        <v>1551.54</v>
      </c>
      <c r="S13" s="159"/>
      <c r="T13" s="87"/>
      <c r="U13" s="87"/>
      <c r="V13" s="87"/>
      <c r="W13" s="150"/>
    </row>
    <row r="14" spans="1:24" s="12" customFormat="1" ht="12" x14ac:dyDescent="0.2">
      <c r="A14" s="10" t="s">
        <v>372</v>
      </c>
      <c r="B14" s="37" t="s">
        <v>538</v>
      </c>
      <c r="C14" s="8" t="s">
        <v>157</v>
      </c>
      <c r="D14" s="8" t="s">
        <v>582</v>
      </c>
      <c r="E14" s="55">
        <v>42957</v>
      </c>
      <c r="F14" s="55">
        <v>42957</v>
      </c>
      <c r="G14" s="13" t="s">
        <v>18</v>
      </c>
      <c r="H14" s="27"/>
      <c r="I14" s="74"/>
      <c r="J14" s="113"/>
      <c r="K14" s="113">
        <v>17.5</v>
      </c>
      <c r="L14" s="113"/>
      <c r="M14" s="28"/>
      <c r="N14" s="28"/>
      <c r="O14" s="26">
        <f t="shared" si="0"/>
        <v>17.5</v>
      </c>
      <c r="P14" s="27"/>
      <c r="Q14" s="27"/>
      <c r="R14" s="158">
        <f t="shared" si="1"/>
        <v>17.5</v>
      </c>
      <c r="S14" s="159"/>
      <c r="T14" s="87"/>
      <c r="U14" s="87"/>
      <c r="V14" s="87"/>
      <c r="W14" s="150"/>
    </row>
    <row r="15" spans="1:24" s="12" customFormat="1" ht="12" x14ac:dyDescent="0.2">
      <c r="A15" s="7" t="s">
        <v>205</v>
      </c>
      <c r="B15" s="8" t="s">
        <v>25</v>
      </c>
      <c r="C15" s="8" t="s">
        <v>55</v>
      </c>
      <c r="D15" s="8" t="s">
        <v>577</v>
      </c>
      <c r="E15" s="55">
        <v>42915</v>
      </c>
      <c r="F15" s="55">
        <v>42915</v>
      </c>
      <c r="G15" s="13" t="s">
        <v>18</v>
      </c>
      <c r="H15" s="27"/>
      <c r="I15" s="74"/>
      <c r="J15" s="113"/>
      <c r="K15" s="113">
        <v>16.25</v>
      </c>
      <c r="L15" s="113"/>
      <c r="M15" s="28"/>
      <c r="N15" s="28"/>
      <c r="O15" s="26">
        <f t="shared" si="0"/>
        <v>16.25</v>
      </c>
      <c r="P15" s="27"/>
      <c r="Q15" s="27"/>
      <c r="R15" s="158">
        <f t="shared" si="1"/>
        <v>16.25</v>
      </c>
      <c r="S15" s="159"/>
      <c r="T15" s="87"/>
      <c r="U15" s="87"/>
      <c r="V15" s="87"/>
      <c r="X15" s="150"/>
    </row>
    <row r="16" spans="1:24" s="12" customFormat="1" ht="12" x14ac:dyDescent="0.2">
      <c r="A16" s="10" t="s">
        <v>576</v>
      </c>
      <c r="B16" s="10" t="s">
        <v>21</v>
      </c>
      <c r="C16" s="11" t="s">
        <v>409</v>
      </c>
      <c r="D16" s="8" t="s">
        <v>598</v>
      </c>
      <c r="E16" s="55">
        <v>43007</v>
      </c>
      <c r="F16" s="55">
        <v>43007</v>
      </c>
      <c r="G16" s="13" t="s">
        <v>118</v>
      </c>
      <c r="H16" s="74"/>
      <c r="I16" s="102"/>
      <c r="J16" s="113"/>
      <c r="K16" s="113"/>
      <c r="L16" s="113">
        <v>139</v>
      </c>
      <c r="M16" s="27"/>
      <c r="N16" s="27"/>
      <c r="O16" s="26">
        <f t="shared" si="0"/>
        <v>139</v>
      </c>
      <c r="P16" s="27"/>
      <c r="Q16" s="27"/>
      <c r="R16" s="158">
        <f t="shared" si="1"/>
        <v>139</v>
      </c>
      <c r="S16" s="159"/>
      <c r="T16" s="87"/>
      <c r="U16" s="87"/>
      <c r="V16" s="87"/>
    </row>
    <row r="17" spans="1:23" s="12" customFormat="1" ht="12" x14ac:dyDescent="0.2">
      <c r="A17" s="10" t="s">
        <v>576</v>
      </c>
      <c r="B17" s="10" t="s">
        <v>21</v>
      </c>
      <c r="C17" s="11" t="s">
        <v>409</v>
      </c>
      <c r="D17" s="8" t="s">
        <v>599</v>
      </c>
      <c r="E17" s="55">
        <v>43004</v>
      </c>
      <c r="F17" s="55">
        <v>43005</v>
      </c>
      <c r="G17" s="13" t="s">
        <v>327</v>
      </c>
      <c r="H17" s="74"/>
      <c r="I17" s="102"/>
      <c r="J17" s="113">
        <v>748.25</v>
      </c>
      <c r="K17" s="113"/>
      <c r="L17" s="113"/>
      <c r="M17" s="27"/>
      <c r="N17" s="27"/>
      <c r="O17" s="26">
        <f t="shared" si="0"/>
        <v>748.25</v>
      </c>
      <c r="P17" s="27"/>
      <c r="Q17" s="27"/>
      <c r="R17" s="158">
        <f t="shared" si="1"/>
        <v>748.25</v>
      </c>
      <c r="S17" s="159"/>
      <c r="T17" s="87"/>
      <c r="U17" s="87"/>
      <c r="V17" s="87"/>
    </row>
    <row r="18" spans="1:23" s="12" customFormat="1" ht="12" x14ac:dyDescent="0.2">
      <c r="A18" s="10" t="s">
        <v>576</v>
      </c>
      <c r="B18" s="10" t="s">
        <v>21</v>
      </c>
      <c r="C18" s="11" t="s">
        <v>409</v>
      </c>
      <c r="D18" s="8" t="s">
        <v>600</v>
      </c>
      <c r="E18" s="55">
        <v>43014</v>
      </c>
      <c r="F18" s="55">
        <v>43015</v>
      </c>
      <c r="G18" s="13" t="s">
        <v>99</v>
      </c>
      <c r="H18" s="27"/>
      <c r="I18" s="74"/>
      <c r="J18" s="113">
        <v>198.25</v>
      </c>
      <c r="K18" s="113"/>
      <c r="L18" s="113"/>
      <c r="M18" s="28"/>
      <c r="N18" s="28"/>
      <c r="O18" s="26">
        <f t="shared" si="0"/>
        <v>198.25</v>
      </c>
      <c r="P18" s="27"/>
      <c r="Q18" s="27"/>
      <c r="R18" s="158">
        <f t="shared" si="1"/>
        <v>198.25</v>
      </c>
      <c r="S18" s="159"/>
      <c r="T18" s="160"/>
      <c r="U18" s="87"/>
      <c r="V18" s="87"/>
    </row>
    <row r="19" spans="1:23" s="12" customFormat="1" ht="12" x14ac:dyDescent="0.2">
      <c r="A19" s="10" t="s">
        <v>576</v>
      </c>
      <c r="B19" s="10" t="s">
        <v>21</v>
      </c>
      <c r="C19" s="11" t="s">
        <v>409</v>
      </c>
      <c r="D19" s="8" t="s">
        <v>598</v>
      </c>
      <c r="E19" s="55">
        <v>43007</v>
      </c>
      <c r="F19" s="55">
        <v>43008</v>
      </c>
      <c r="G19" s="13" t="s">
        <v>118</v>
      </c>
      <c r="H19" s="27"/>
      <c r="I19" s="74"/>
      <c r="J19" s="113">
        <v>339.25</v>
      </c>
      <c r="K19" s="113"/>
      <c r="L19" s="113"/>
      <c r="M19" s="28"/>
      <c r="N19" s="28"/>
      <c r="O19" s="26">
        <f t="shared" si="0"/>
        <v>339.25</v>
      </c>
      <c r="P19" s="27"/>
      <c r="Q19" s="27"/>
      <c r="R19" s="158">
        <f t="shared" si="1"/>
        <v>339.25</v>
      </c>
      <c r="S19" s="159"/>
      <c r="T19" s="160"/>
      <c r="U19" s="87"/>
      <c r="V19" s="87"/>
    </row>
    <row r="20" spans="1:23" s="12" customFormat="1" ht="12" x14ac:dyDescent="0.2">
      <c r="A20" s="7" t="s">
        <v>209</v>
      </c>
      <c r="B20" s="8" t="s">
        <v>25</v>
      </c>
      <c r="C20" s="8" t="s">
        <v>55</v>
      </c>
      <c r="D20" s="8" t="s">
        <v>577</v>
      </c>
      <c r="E20" s="55">
        <v>42897</v>
      </c>
      <c r="F20" s="55">
        <v>42897</v>
      </c>
      <c r="G20" s="13" t="s">
        <v>18</v>
      </c>
      <c r="H20" s="27"/>
      <c r="I20" s="74"/>
      <c r="J20" s="113">
        <v>484.25</v>
      </c>
      <c r="K20" s="113"/>
      <c r="L20" s="113"/>
      <c r="M20" s="28"/>
      <c r="N20" s="28"/>
      <c r="O20" s="26">
        <f t="shared" si="0"/>
        <v>484.25</v>
      </c>
      <c r="P20" s="27"/>
      <c r="Q20" s="27"/>
      <c r="R20" s="158">
        <f t="shared" si="1"/>
        <v>484.25</v>
      </c>
      <c r="S20" s="159"/>
      <c r="T20" s="87"/>
      <c r="U20" s="87"/>
      <c r="V20" s="87"/>
    </row>
    <row r="21" spans="1:23" s="12" customFormat="1" ht="12" x14ac:dyDescent="0.2">
      <c r="A21" s="7" t="s">
        <v>209</v>
      </c>
      <c r="B21" s="8" t="s">
        <v>25</v>
      </c>
      <c r="C21" s="8" t="s">
        <v>55</v>
      </c>
      <c r="D21" s="8" t="s">
        <v>577</v>
      </c>
      <c r="E21" s="55">
        <v>42987</v>
      </c>
      <c r="F21" s="55">
        <v>42988</v>
      </c>
      <c r="G21" s="13" t="s">
        <v>18</v>
      </c>
      <c r="H21" s="27"/>
      <c r="I21" s="74"/>
      <c r="J21" s="113"/>
      <c r="K21" s="113">
        <f>16.8+65.35+6+32.74</f>
        <v>120.88999999999999</v>
      </c>
      <c r="L21" s="113">
        <v>204.98</v>
      </c>
      <c r="M21" s="28">
        <v>28.76</v>
      </c>
      <c r="N21" s="28"/>
      <c r="O21" s="26">
        <f t="shared" si="0"/>
        <v>354.63</v>
      </c>
      <c r="P21" s="27"/>
      <c r="Q21" s="27"/>
      <c r="R21" s="158">
        <f t="shared" si="1"/>
        <v>354.63</v>
      </c>
      <c r="S21" s="159"/>
      <c r="T21" s="87"/>
      <c r="U21" s="87"/>
      <c r="V21" s="87"/>
    </row>
    <row r="22" spans="1:23" s="12" customFormat="1" ht="12" x14ac:dyDescent="0.2">
      <c r="A22" s="10" t="s">
        <v>38</v>
      </c>
      <c r="B22" s="13" t="s">
        <v>168</v>
      </c>
      <c r="C22" s="11" t="s">
        <v>107</v>
      </c>
      <c r="D22" s="8" t="s">
        <v>592</v>
      </c>
      <c r="E22" s="55">
        <v>42899</v>
      </c>
      <c r="F22" s="55">
        <v>42899</v>
      </c>
      <c r="G22" s="13" t="s">
        <v>18</v>
      </c>
      <c r="H22" s="27"/>
      <c r="I22" s="74"/>
      <c r="J22" s="113"/>
      <c r="K22" s="113"/>
      <c r="L22" s="113"/>
      <c r="M22" s="28"/>
      <c r="N22" s="28"/>
      <c r="O22" s="26">
        <f t="shared" si="0"/>
        <v>0</v>
      </c>
      <c r="P22" s="27"/>
      <c r="Q22" s="27">
        <v>75.22</v>
      </c>
      <c r="R22" s="158">
        <f t="shared" si="1"/>
        <v>75.22</v>
      </c>
      <c r="S22" s="159"/>
      <c r="T22" s="166"/>
      <c r="U22" s="87"/>
      <c r="V22" s="166"/>
    </row>
    <row r="23" spans="1:23" s="12" customFormat="1" ht="12" x14ac:dyDescent="0.2">
      <c r="A23" s="10" t="s">
        <v>38</v>
      </c>
      <c r="B23" s="13" t="s">
        <v>168</v>
      </c>
      <c r="C23" s="11" t="s">
        <v>107</v>
      </c>
      <c r="D23" s="8" t="s">
        <v>592</v>
      </c>
      <c r="E23" s="55">
        <v>42908</v>
      </c>
      <c r="F23" s="55">
        <v>42908</v>
      </c>
      <c r="G23" s="13" t="s">
        <v>18</v>
      </c>
      <c r="H23" s="74"/>
      <c r="I23" s="102"/>
      <c r="J23" s="113"/>
      <c r="K23" s="113">
        <v>5.3</v>
      </c>
      <c r="L23" s="113"/>
      <c r="M23" s="27"/>
      <c r="N23" s="27"/>
      <c r="O23" s="26">
        <f t="shared" si="0"/>
        <v>5.3</v>
      </c>
      <c r="P23" s="27"/>
      <c r="Q23" s="27"/>
      <c r="R23" s="158">
        <f t="shared" si="1"/>
        <v>5.3</v>
      </c>
      <c r="S23" s="159"/>
      <c r="T23" s="87"/>
      <c r="U23" s="87"/>
      <c r="V23" s="87"/>
    </row>
    <row r="24" spans="1:23" s="12" customFormat="1" ht="12" x14ac:dyDescent="0.2">
      <c r="A24" s="10" t="s">
        <v>38</v>
      </c>
      <c r="B24" s="13" t="s">
        <v>168</v>
      </c>
      <c r="C24" s="11" t="s">
        <v>312</v>
      </c>
      <c r="D24" s="20" t="s">
        <v>64</v>
      </c>
      <c r="E24" s="55">
        <v>42934</v>
      </c>
      <c r="F24" s="55">
        <v>42934</v>
      </c>
      <c r="G24" s="10" t="s">
        <v>129</v>
      </c>
      <c r="H24" s="27"/>
      <c r="I24" s="74"/>
      <c r="J24" s="113"/>
      <c r="K24" s="142">
        <v>73.28</v>
      </c>
      <c r="L24" s="113"/>
      <c r="M24" s="27"/>
      <c r="N24" s="27"/>
      <c r="O24" s="26">
        <f t="shared" si="0"/>
        <v>73.28</v>
      </c>
      <c r="P24" s="27"/>
      <c r="Q24" s="27"/>
      <c r="R24" s="158">
        <f t="shared" si="1"/>
        <v>73.28</v>
      </c>
      <c r="S24" s="159"/>
      <c r="T24" s="160"/>
      <c r="U24" s="87"/>
      <c r="V24" s="87"/>
    </row>
    <row r="25" spans="1:23" s="12" customFormat="1" ht="12" x14ac:dyDescent="0.2">
      <c r="A25" s="10" t="s">
        <v>38</v>
      </c>
      <c r="B25" s="169" t="s">
        <v>168</v>
      </c>
      <c r="C25" s="11" t="s">
        <v>107</v>
      </c>
      <c r="D25" s="8" t="s">
        <v>579</v>
      </c>
      <c r="E25" s="55">
        <v>43054</v>
      </c>
      <c r="F25" s="55">
        <v>43055</v>
      </c>
      <c r="G25" s="13" t="s">
        <v>180</v>
      </c>
      <c r="H25" s="27"/>
      <c r="I25" s="74"/>
      <c r="J25" s="113">
        <f>19+175</f>
        <v>194</v>
      </c>
      <c r="K25" s="113"/>
      <c r="L25" s="113"/>
      <c r="M25" s="27"/>
      <c r="N25" s="27"/>
      <c r="O25" s="26">
        <f t="shared" si="0"/>
        <v>194</v>
      </c>
      <c r="P25" s="27"/>
      <c r="Q25" s="27"/>
      <c r="R25" s="158">
        <f t="shared" si="1"/>
        <v>194</v>
      </c>
      <c r="S25" s="159"/>
      <c r="T25" s="87"/>
      <c r="U25" s="87"/>
      <c r="V25" s="87"/>
    </row>
    <row r="26" spans="1:23" s="12" customFormat="1" ht="12" x14ac:dyDescent="0.2">
      <c r="A26" s="10" t="s">
        <v>38</v>
      </c>
      <c r="B26" s="169" t="s">
        <v>168</v>
      </c>
      <c r="C26" s="11" t="s">
        <v>107</v>
      </c>
      <c r="D26" s="8" t="s">
        <v>579</v>
      </c>
      <c r="E26" s="55">
        <v>43067</v>
      </c>
      <c r="F26" s="55">
        <v>43068</v>
      </c>
      <c r="G26" s="13" t="s">
        <v>180</v>
      </c>
      <c r="H26" s="27"/>
      <c r="I26" s="74"/>
      <c r="J26" s="113">
        <v>781.25</v>
      </c>
      <c r="K26" s="113"/>
      <c r="L26" s="113"/>
      <c r="M26" s="27"/>
      <c r="N26" s="27"/>
      <c r="O26" s="26">
        <f t="shared" si="0"/>
        <v>781.25</v>
      </c>
      <c r="P26" s="27"/>
      <c r="Q26" s="27"/>
      <c r="R26" s="158">
        <f t="shared" si="1"/>
        <v>781.25</v>
      </c>
      <c r="S26" s="159"/>
      <c r="T26" s="160"/>
      <c r="U26" s="166"/>
      <c r="V26" s="87"/>
    </row>
    <row r="27" spans="1:23" s="12" customFormat="1" ht="12" x14ac:dyDescent="0.2">
      <c r="A27" s="10" t="s">
        <v>38</v>
      </c>
      <c r="B27" s="169" t="s">
        <v>168</v>
      </c>
      <c r="C27" s="11" t="s">
        <v>107</v>
      </c>
      <c r="D27" s="8" t="s">
        <v>579</v>
      </c>
      <c r="E27" s="55">
        <v>43025</v>
      </c>
      <c r="F27" s="55">
        <v>43026</v>
      </c>
      <c r="G27" s="13" t="s">
        <v>135</v>
      </c>
      <c r="H27" s="27"/>
      <c r="I27" s="74"/>
      <c r="J27" s="113">
        <v>221.73</v>
      </c>
      <c r="K27" s="163"/>
      <c r="L27" s="113"/>
      <c r="M27" s="28"/>
      <c r="N27" s="28"/>
      <c r="O27" s="26">
        <f t="shared" si="0"/>
        <v>221.73</v>
      </c>
      <c r="P27" s="27"/>
      <c r="Q27" s="27"/>
      <c r="R27" s="158">
        <f t="shared" si="1"/>
        <v>221.73</v>
      </c>
      <c r="S27" s="159"/>
      <c r="T27" s="167"/>
      <c r="U27" s="166"/>
      <c r="V27" s="87"/>
    </row>
    <row r="28" spans="1:23" s="12" customFormat="1" ht="12" x14ac:dyDescent="0.2">
      <c r="A28" s="10" t="s">
        <v>38</v>
      </c>
      <c r="B28" s="169" t="s">
        <v>168</v>
      </c>
      <c r="C28" s="11" t="s">
        <v>288</v>
      </c>
      <c r="D28" s="8" t="s">
        <v>580</v>
      </c>
      <c r="E28" s="55">
        <v>43035</v>
      </c>
      <c r="F28" s="55">
        <v>43036</v>
      </c>
      <c r="G28" s="10" t="s">
        <v>47</v>
      </c>
      <c r="H28" s="27"/>
      <c r="I28" s="74"/>
      <c r="J28" s="113">
        <v>229.24</v>
      </c>
      <c r="K28" s="113"/>
      <c r="L28" s="113"/>
      <c r="M28" s="28"/>
      <c r="N28" s="28"/>
      <c r="O28" s="26">
        <f t="shared" si="0"/>
        <v>229.24</v>
      </c>
      <c r="P28" s="27"/>
      <c r="Q28" s="27"/>
      <c r="R28" s="158">
        <f t="shared" si="1"/>
        <v>229.24</v>
      </c>
      <c r="S28" s="159"/>
      <c r="T28" s="87"/>
      <c r="U28" s="87"/>
      <c r="V28" s="160"/>
    </row>
    <row r="29" spans="1:23" s="12" customFormat="1" ht="12" x14ac:dyDescent="0.2">
      <c r="A29" s="10" t="s">
        <v>38</v>
      </c>
      <c r="B29" s="169" t="s">
        <v>168</v>
      </c>
      <c r="C29" s="11" t="s">
        <v>312</v>
      </c>
      <c r="D29" s="8" t="s">
        <v>581</v>
      </c>
      <c r="E29" s="55">
        <v>42993</v>
      </c>
      <c r="F29" s="55">
        <v>42993</v>
      </c>
      <c r="G29" s="10" t="s">
        <v>326</v>
      </c>
      <c r="H29" s="27"/>
      <c r="I29" s="74"/>
      <c r="J29" s="113"/>
      <c r="K29" s="113">
        <v>31.2</v>
      </c>
      <c r="L29" s="113"/>
      <c r="M29" s="28"/>
      <c r="N29" s="28"/>
      <c r="O29" s="26">
        <f t="shared" si="0"/>
        <v>31.2</v>
      </c>
      <c r="P29" s="27"/>
      <c r="Q29" s="27"/>
      <c r="R29" s="158">
        <f t="shared" si="1"/>
        <v>31.2</v>
      </c>
      <c r="S29" s="159"/>
      <c r="T29" s="160"/>
      <c r="U29" s="87"/>
      <c r="V29" s="87"/>
    </row>
    <row r="30" spans="1:23" s="12" customFormat="1" ht="12" x14ac:dyDescent="0.2">
      <c r="A30" s="7" t="s">
        <v>323</v>
      </c>
      <c r="B30" s="162" t="s">
        <v>25</v>
      </c>
      <c r="C30" s="8" t="s">
        <v>55</v>
      </c>
      <c r="D30" s="8" t="s">
        <v>577</v>
      </c>
      <c r="E30" s="55">
        <v>42898</v>
      </c>
      <c r="F30" s="55">
        <v>42898</v>
      </c>
      <c r="G30" s="13" t="s">
        <v>18</v>
      </c>
      <c r="H30" s="27"/>
      <c r="I30" s="74"/>
      <c r="J30" s="113"/>
      <c r="K30" s="113"/>
      <c r="L30" s="113">
        <v>204.29</v>
      </c>
      <c r="M30" s="28"/>
      <c r="N30" s="28"/>
      <c r="O30" s="26">
        <f t="shared" si="0"/>
        <v>204.29</v>
      </c>
      <c r="P30" s="27"/>
      <c r="Q30" s="27"/>
      <c r="R30" s="158">
        <f t="shared" si="1"/>
        <v>204.29</v>
      </c>
      <c r="S30" s="159"/>
      <c r="T30" s="87"/>
      <c r="U30" s="87"/>
      <c r="V30" s="160"/>
    </row>
    <row r="31" spans="1:23" x14ac:dyDescent="0.2">
      <c r="V31" s="111"/>
      <c r="W31" s="9"/>
    </row>
    <row r="32" spans="1:23" x14ac:dyDescent="0.2">
      <c r="U32" s="168"/>
      <c r="V32" s="111"/>
      <c r="W32" s="9"/>
    </row>
    <row r="33" spans="21:23" x14ac:dyDescent="0.2">
      <c r="U33" s="168"/>
      <c r="V33" s="111"/>
      <c r="W33" s="9"/>
    </row>
    <row r="34" spans="21:23" x14ac:dyDescent="0.2">
      <c r="U34" s="168"/>
      <c r="V34" s="111"/>
      <c r="W34" s="9"/>
    </row>
    <row r="35" spans="21:23" x14ac:dyDescent="0.2">
      <c r="U35" s="168"/>
      <c r="V35" s="111"/>
      <c r="W35" s="9"/>
    </row>
    <row r="36" spans="21:23" x14ac:dyDescent="0.2">
      <c r="U36" s="168"/>
      <c r="V36" s="111"/>
      <c r="W36" s="9"/>
    </row>
    <row r="37" spans="21:23" x14ac:dyDescent="0.2">
      <c r="U37" s="168"/>
      <c r="V37" s="111"/>
      <c r="W37" s="9"/>
    </row>
    <row r="38" spans="21:23" x14ac:dyDescent="0.2">
      <c r="U38" s="168"/>
      <c r="V38" s="111"/>
      <c r="W38" s="9"/>
    </row>
    <row r="39" spans="21:23" x14ac:dyDescent="0.2">
      <c r="V39" s="111"/>
      <c r="W39" s="9"/>
    </row>
    <row r="40" spans="21:23" x14ac:dyDescent="0.2">
      <c r="V40" s="111"/>
      <c r="W40" s="9"/>
    </row>
    <row r="41" spans="21:23" x14ac:dyDescent="0.2">
      <c r="V41" s="111"/>
      <c r="W41" s="9"/>
    </row>
    <row r="42" spans="21:23" x14ac:dyDescent="0.2">
      <c r="V42" s="111"/>
      <c r="W42" s="9"/>
    </row>
    <row r="43" spans="21:23" x14ac:dyDescent="0.2">
      <c r="V43" s="111"/>
      <c r="W43" s="9"/>
    </row>
    <row r="44" spans="21:23" x14ac:dyDescent="0.2">
      <c r="V44" s="111"/>
      <c r="W44" s="9"/>
    </row>
    <row r="45" spans="21:23" x14ac:dyDescent="0.2">
      <c r="V45" s="111"/>
      <c r="W45" s="9"/>
    </row>
    <row r="46" spans="21:23" x14ac:dyDescent="0.2">
      <c r="V46" s="111"/>
      <c r="W46" s="9"/>
    </row>
  </sheetData>
  <autoFilter ref="A1:X30" xr:uid="{00000000-0009-0000-0000-000017000000}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68"/>
  <sheetViews>
    <sheetView workbookViewId="0">
      <pane ySplit="1" topLeftCell="A2" activePane="bottomLeft" state="frozen"/>
      <selection activeCell="D39" sqref="D39"/>
      <selection pane="bottomLeft" activeCell="A51" sqref="A51:B51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64</v>
      </c>
      <c r="D2" s="8" t="s">
        <v>622</v>
      </c>
      <c r="E2" s="55">
        <v>43004</v>
      </c>
      <c r="F2" s="55">
        <v>43004</v>
      </c>
      <c r="G2" s="13" t="s">
        <v>327</v>
      </c>
      <c r="H2" s="74"/>
      <c r="I2" s="102"/>
      <c r="J2" s="113"/>
      <c r="K2" s="119">
        <v>24.7</v>
      </c>
      <c r="L2" s="113"/>
      <c r="M2" s="27">
        <f>19.91+19.91</f>
        <v>39.82</v>
      </c>
      <c r="N2" s="27"/>
      <c r="O2" s="26"/>
      <c r="P2" s="27"/>
      <c r="Q2" s="27"/>
      <c r="R2" s="158">
        <f t="shared" ref="R2:R32" si="0">SUM(J2:Q2)</f>
        <v>64.52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623</v>
      </c>
      <c r="E3" s="55">
        <v>43007</v>
      </c>
      <c r="F3" s="55">
        <v>43007</v>
      </c>
      <c r="G3" s="13" t="s">
        <v>118</v>
      </c>
      <c r="H3" s="74"/>
      <c r="I3" s="102"/>
      <c r="J3" s="113"/>
      <c r="K3" s="119">
        <f>52.35+19</f>
        <v>71.349999999999994</v>
      </c>
      <c r="L3" s="113"/>
      <c r="M3" s="27">
        <v>39.82</v>
      </c>
      <c r="N3" s="27"/>
      <c r="O3" s="26"/>
      <c r="P3" s="27"/>
      <c r="Q3" s="27"/>
      <c r="R3" s="158">
        <f t="shared" si="0"/>
        <v>111.16999999999999</v>
      </c>
      <c r="S3" s="87"/>
      <c r="T3" s="87"/>
      <c r="U3" s="87"/>
      <c r="V3" s="87"/>
    </row>
    <row r="4" spans="1:24" s="12" customFormat="1" ht="12" customHeight="1" x14ac:dyDescent="0.2">
      <c r="A4" s="7" t="s">
        <v>389</v>
      </c>
      <c r="B4" s="8" t="s">
        <v>34</v>
      </c>
      <c r="C4" s="11" t="s">
        <v>64</v>
      </c>
      <c r="D4" s="8" t="s">
        <v>614</v>
      </c>
      <c r="E4" s="55">
        <v>43011</v>
      </c>
      <c r="F4" s="55">
        <v>43011</v>
      </c>
      <c r="G4" s="13" t="s">
        <v>615</v>
      </c>
      <c r="H4" s="27"/>
      <c r="I4" s="74"/>
      <c r="J4" s="113"/>
      <c r="K4" s="113">
        <v>110.9</v>
      </c>
      <c r="L4" s="113"/>
      <c r="M4" s="28"/>
      <c r="N4" s="28"/>
      <c r="O4" s="26"/>
      <c r="P4" s="27"/>
      <c r="Q4" s="27"/>
      <c r="R4" s="158">
        <f t="shared" si="0"/>
        <v>110.9</v>
      </c>
      <c r="S4" s="87"/>
      <c r="T4" s="160"/>
      <c r="U4" s="87"/>
      <c r="V4" s="87"/>
      <c r="X4" s="161"/>
    </row>
    <row r="5" spans="1:24" s="12" customFormat="1" ht="12" customHeight="1" x14ac:dyDescent="0.2">
      <c r="A5" s="7" t="s">
        <v>389</v>
      </c>
      <c r="B5" s="8" t="s">
        <v>34</v>
      </c>
      <c r="C5" s="11" t="s">
        <v>64</v>
      </c>
      <c r="D5" s="11" t="s">
        <v>611</v>
      </c>
      <c r="E5" s="55">
        <v>43011</v>
      </c>
      <c r="F5" s="55">
        <v>43012</v>
      </c>
      <c r="G5" s="13" t="s">
        <v>93</v>
      </c>
      <c r="H5" s="74"/>
      <c r="I5" s="102"/>
      <c r="J5" s="113"/>
      <c r="K5" s="119"/>
      <c r="L5" s="113"/>
      <c r="M5" s="27">
        <v>30.97</v>
      </c>
      <c r="N5" s="27"/>
      <c r="O5" s="26"/>
      <c r="P5" s="27"/>
      <c r="Q5" s="27"/>
      <c r="R5" s="158">
        <f t="shared" si="0"/>
        <v>30.97</v>
      </c>
      <c r="S5" s="87"/>
      <c r="T5" s="160"/>
      <c r="U5" s="87"/>
      <c r="V5" s="87"/>
      <c r="X5" s="161"/>
    </row>
    <row r="6" spans="1:24" s="12" customFormat="1" ht="12" x14ac:dyDescent="0.2">
      <c r="A6" s="7" t="s">
        <v>389</v>
      </c>
      <c r="B6" s="8" t="s">
        <v>34</v>
      </c>
      <c r="C6" s="11" t="s">
        <v>64</v>
      </c>
      <c r="D6" s="8" t="s">
        <v>684</v>
      </c>
      <c r="E6" s="55">
        <v>43014</v>
      </c>
      <c r="F6" s="55">
        <v>43014</v>
      </c>
      <c r="G6" s="13" t="s">
        <v>99</v>
      </c>
      <c r="H6" s="27"/>
      <c r="I6" s="74"/>
      <c r="J6" s="113">
        <v>344.25</v>
      </c>
      <c r="K6" s="113"/>
      <c r="L6" s="113">
        <v>135</v>
      </c>
      <c r="M6" s="28">
        <v>53.25</v>
      </c>
      <c r="N6" s="28"/>
      <c r="O6" s="26"/>
      <c r="P6" s="27"/>
      <c r="Q6" s="27"/>
      <c r="R6" s="158">
        <f t="shared" si="0"/>
        <v>532.5</v>
      </c>
      <c r="S6" s="87"/>
      <c r="T6" s="160"/>
      <c r="U6" s="87"/>
      <c r="V6" s="87"/>
    </row>
    <row r="7" spans="1:24" s="12" customFormat="1" ht="12" x14ac:dyDescent="0.2">
      <c r="A7" s="7" t="s">
        <v>389</v>
      </c>
      <c r="B7" s="8" t="s">
        <v>34</v>
      </c>
      <c r="C7" s="11" t="s">
        <v>312</v>
      </c>
      <c r="D7" s="11" t="s">
        <v>639</v>
      </c>
      <c r="E7" s="55">
        <v>43080</v>
      </c>
      <c r="F7" s="55">
        <v>43080</v>
      </c>
      <c r="G7" s="13" t="s">
        <v>626</v>
      </c>
      <c r="H7" s="74"/>
      <c r="I7" s="102"/>
      <c r="J7" s="113">
        <v>491.24</v>
      </c>
      <c r="K7" s="119"/>
      <c r="L7" s="113"/>
      <c r="M7" s="27"/>
      <c r="N7" s="27"/>
      <c r="O7" s="26"/>
      <c r="P7" s="27"/>
      <c r="Q7" s="27"/>
      <c r="R7" s="158">
        <f t="shared" si="0"/>
        <v>491.24</v>
      </c>
      <c r="S7" s="87"/>
      <c r="T7" s="160"/>
      <c r="U7" s="87"/>
      <c r="V7" s="87"/>
    </row>
    <row r="8" spans="1:24" s="12" customFormat="1" ht="12" x14ac:dyDescent="0.2">
      <c r="A8" s="7" t="s">
        <v>31</v>
      </c>
      <c r="B8" s="14" t="s">
        <v>597</v>
      </c>
      <c r="C8" s="11" t="s">
        <v>302</v>
      </c>
      <c r="D8" s="8" t="s">
        <v>617</v>
      </c>
      <c r="E8" s="55">
        <v>43004</v>
      </c>
      <c r="F8" s="55">
        <v>43007</v>
      </c>
      <c r="G8" s="10" t="s">
        <v>589</v>
      </c>
      <c r="H8" s="27"/>
      <c r="I8" s="74"/>
      <c r="J8" s="113" t="s">
        <v>266</v>
      </c>
      <c r="K8" s="113">
        <f>40+11.99+17.92+16.7</f>
        <v>86.61</v>
      </c>
      <c r="L8" s="113">
        <v>1335.67</v>
      </c>
      <c r="M8" s="28"/>
      <c r="N8" s="28"/>
      <c r="O8" s="26"/>
      <c r="P8" s="27"/>
      <c r="Q8" s="27"/>
      <c r="R8" s="158">
        <f t="shared" si="0"/>
        <v>1422.28</v>
      </c>
      <c r="S8" s="87"/>
      <c r="T8" s="160"/>
      <c r="U8" s="87"/>
      <c r="V8" s="87"/>
    </row>
    <row r="9" spans="1:24" s="12" customFormat="1" ht="12" x14ac:dyDescent="0.2">
      <c r="A9" s="7" t="s">
        <v>31</v>
      </c>
      <c r="B9" s="14" t="s">
        <v>597</v>
      </c>
      <c r="C9" s="11" t="s">
        <v>64</v>
      </c>
      <c r="D9" s="11" t="s">
        <v>611</v>
      </c>
      <c r="E9" s="55">
        <v>43011</v>
      </c>
      <c r="F9" s="55">
        <v>43012</v>
      </c>
      <c r="G9" s="13" t="s">
        <v>93</v>
      </c>
      <c r="H9" s="27"/>
      <c r="I9" s="74"/>
      <c r="J9" s="113"/>
      <c r="K9" s="114">
        <f>89.5+31.08+18.29</f>
        <v>138.87</v>
      </c>
      <c r="L9" s="113">
        <v>111</v>
      </c>
      <c r="M9" s="28"/>
      <c r="N9" s="28"/>
      <c r="O9" s="26"/>
      <c r="P9" s="27"/>
      <c r="Q9" s="27"/>
      <c r="R9" s="158">
        <f t="shared" si="0"/>
        <v>249.87</v>
      </c>
      <c r="S9" s="87"/>
      <c r="T9" s="160"/>
      <c r="U9" s="87"/>
      <c r="V9" s="87"/>
    </row>
    <row r="10" spans="1:24" s="12" customFormat="1" ht="12" x14ac:dyDescent="0.2">
      <c r="A10" s="7" t="s">
        <v>31</v>
      </c>
      <c r="B10" s="14" t="s">
        <v>597</v>
      </c>
      <c r="C10" s="11" t="s">
        <v>302</v>
      </c>
      <c r="D10" s="8" t="s">
        <v>627</v>
      </c>
      <c r="E10" s="55">
        <v>43024</v>
      </c>
      <c r="F10" s="55">
        <v>43026</v>
      </c>
      <c r="G10" s="13" t="s">
        <v>135</v>
      </c>
      <c r="H10" s="27"/>
      <c r="I10" s="74"/>
      <c r="J10" s="113">
        <f>87+40</f>
        <v>127</v>
      </c>
      <c r="K10" s="113">
        <f>39.16+33.19+18.77</f>
        <v>91.11999999999999</v>
      </c>
      <c r="L10" s="113">
        <v>475.8</v>
      </c>
      <c r="M10" s="28"/>
      <c r="N10" s="28"/>
      <c r="O10" s="26"/>
      <c r="P10" s="27"/>
      <c r="Q10" s="27"/>
      <c r="R10" s="158">
        <f t="shared" si="0"/>
        <v>693.92000000000007</v>
      </c>
      <c r="S10" s="87"/>
      <c r="T10" s="160"/>
      <c r="U10" s="87"/>
      <c r="V10" s="87"/>
    </row>
    <row r="11" spans="1:24" s="12" customFormat="1" ht="12" x14ac:dyDescent="0.2">
      <c r="A11" s="7" t="s">
        <v>31</v>
      </c>
      <c r="B11" s="14" t="s">
        <v>597</v>
      </c>
      <c r="C11" s="11" t="s">
        <v>302</v>
      </c>
      <c r="D11" s="8" t="s">
        <v>618</v>
      </c>
      <c r="E11" s="55">
        <v>43035</v>
      </c>
      <c r="F11" s="55">
        <v>43035</v>
      </c>
      <c r="G11" s="10" t="s">
        <v>18</v>
      </c>
      <c r="H11" s="27"/>
      <c r="I11" s="171">
        <v>22</v>
      </c>
      <c r="J11" s="113"/>
      <c r="K11" s="113"/>
      <c r="L11" s="113"/>
      <c r="M11" s="28"/>
      <c r="N11" s="28"/>
      <c r="O11" s="26"/>
      <c r="P11" s="27">
        <v>485.25</v>
      </c>
      <c r="Q11" s="27"/>
      <c r="R11" s="158">
        <f t="shared" si="0"/>
        <v>485.25</v>
      </c>
      <c r="S11" s="87"/>
      <c r="T11" s="160"/>
      <c r="U11" s="87"/>
      <c r="V11" s="87"/>
    </row>
    <row r="12" spans="1:24" s="12" customFormat="1" ht="12" x14ac:dyDescent="0.2">
      <c r="A12" s="7" t="s">
        <v>31</v>
      </c>
      <c r="B12" s="14" t="s">
        <v>597</v>
      </c>
      <c r="C12" s="11" t="s">
        <v>302</v>
      </c>
      <c r="D12" s="8" t="s">
        <v>630</v>
      </c>
      <c r="E12" s="55">
        <v>43038</v>
      </c>
      <c r="F12" s="55">
        <v>43038</v>
      </c>
      <c r="G12" s="13" t="s">
        <v>18</v>
      </c>
      <c r="H12" s="27"/>
      <c r="I12" s="171">
        <v>1</v>
      </c>
      <c r="J12" s="113"/>
      <c r="K12" s="113"/>
      <c r="L12" s="113"/>
      <c r="M12" s="28"/>
      <c r="N12" s="28"/>
      <c r="O12" s="26"/>
      <c r="P12" s="27">
        <v>20</v>
      </c>
      <c r="Q12" s="27"/>
      <c r="R12" s="158">
        <f t="shared" si="0"/>
        <v>20</v>
      </c>
      <c r="S12" s="87"/>
      <c r="T12" s="160"/>
      <c r="U12" s="87"/>
      <c r="V12" s="87"/>
    </row>
    <row r="13" spans="1:24" s="12" customFormat="1" ht="12" x14ac:dyDescent="0.2">
      <c r="A13" s="7" t="s">
        <v>31</v>
      </c>
      <c r="B13" s="14" t="s">
        <v>597</v>
      </c>
      <c r="C13" s="11" t="s">
        <v>64</v>
      </c>
      <c r="D13" s="11" t="s">
        <v>629</v>
      </c>
      <c r="E13" s="55">
        <v>43045</v>
      </c>
      <c r="F13" s="55">
        <v>43045</v>
      </c>
      <c r="G13" s="13" t="s">
        <v>251</v>
      </c>
      <c r="H13" s="27"/>
      <c r="I13" s="74"/>
      <c r="J13" s="113"/>
      <c r="K13" s="113">
        <v>205.6</v>
      </c>
      <c r="L13" s="113"/>
      <c r="M13" s="28"/>
      <c r="N13" s="28"/>
      <c r="O13" s="26"/>
      <c r="P13" s="27"/>
      <c r="Q13" s="27"/>
      <c r="R13" s="158">
        <f t="shared" si="0"/>
        <v>205.6</v>
      </c>
      <c r="S13" s="87"/>
      <c r="T13" s="160"/>
      <c r="U13" s="87"/>
      <c r="V13" s="87"/>
    </row>
    <row r="14" spans="1:24" s="12" customFormat="1" ht="12" x14ac:dyDescent="0.2">
      <c r="A14" s="7" t="s">
        <v>31</v>
      </c>
      <c r="B14" s="14" t="s">
        <v>597</v>
      </c>
      <c r="C14" s="11" t="s">
        <v>288</v>
      </c>
      <c r="D14" s="8" t="s">
        <v>631</v>
      </c>
      <c r="E14" s="55">
        <v>43045</v>
      </c>
      <c r="F14" s="55">
        <v>43047</v>
      </c>
      <c r="G14" s="13" t="s">
        <v>632</v>
      </c>
      <c r="H14" s="27"/>
      <c r="I14" s="74"/>
      <c r="J14" s="113"/>
      <c r="K14" s="113">
        <f>150.65+45.68+74.75+6.55+44.25+75.9</f>
        <v>397.78000000000009</v>
      </c>
      <c r="L14" s="113">
        <v>712.86</v>
      </c>
      <c r="M14" s="28"/>
      <c r="N14" s="28"/>
      <c r="O14" s="26"/>
      <c r="P14" s="27"/>
      <c r="Q14" s="27"/>
      <c r="R14" s="158">
        <f t="shared" si="0"/>
        <v>1110.6400000000001</v>
      </c>
      <c r="S14" s="87"/>
      <c r="T14" s="160"/>
      <c r="U14" s="87"/>
      <c r="V14" s="87"/>
    </row>
    <row r="15" spans="1:24" s="12" customFormat="1" ht="12" x14ac:dyDescent="0.2">
      <c r="A15" s="7" t="s">
        <v>31</v>
      </c>
      <c r="B15" s="14" t="s">
        <v>597</v>
      </c>
      <c r="C15" s="11" t="s">
        <v>302</v>
      </c>
      <c r="D15" s="11" t="s">
        <v>608</v>
      </c>
      <c r="E15" s="55">
        <v>43056</v>
      </c>
      <c r="F15" s="55">
        <v>43056</v>
      </c>
      <c r="G15" s="10" t="s">
        <v>18</v>
      </c>
      <c r="H15" s="102"/>
      <c r="I15" s="102"/>
      <c r="J15" s="113"/>
      <c r="K15" s="113">
        <f>11.76+8.1+5</f>
        <v>24.86</v>
      </c>
      <c r="L15" s="113"/>
      <c r="M15" s="27"/>
      <c r="N15" s="27"/>
      <c r="O15" s="26"/>
      <c r="P15" s="27"/>
      <c r="Q15" s="27"/>
      <c r="R15" s="158">
        <f t="shared" si="0"/>
        <v>24.86</v>
      </c>
      <c r="S15" s="87"/>
      <c r="T15" s="160"/>
      <c r="U15" s="87"/>
      <c r="V15" s="87"/>
    </row>
    <row r="16" spans="1:24" s="12" customFormat="1" ht="24" x14ac:dyDescent="0.2">
      <c r="A16" s="7" t="s">
        <v>31</v>
      </c>
      <c r="B16" s="14" t="s">
        <v>597</v>
      </c>
      <c r="C16" s="11" t="s">
        <v>288</v>
      </c>
      <c r="D16" s="11" t="s">
        <v>607</v>
      </c>
      <c r="E16" s="55">
        <v>43067</v>
      </c>
      <c r="F16" s="55">
        <v>43067</v>
      </c>
      <c r="G16" s="13" t="s">
        <v>18</v>
      </c>
      <c r="H16" s="74"/>
      <c r="I16" s="102"/>
      <c r="J16" s="113"/>
      <c r="K16" s="113">
        <f>10.7+11.19</f>
        <v>21.89</v>
      </c>
      <c r="L16" s="113"/>
      <c r="M16" s="27"/>
      <c r="N16" s="27"/>
      <c r="O16" s="26"/>
      <c r="P16" s="27"/>
      <c r="Q16" s="27"/>
      <c r="R16" s="158">
        <f t="shared" si="0"/>
        <v>21.89</v>
      </c>
      <c r="S16" s="87"/>
      <c r="T16" s="160"/>
      <c r="U16" s="87"/>
      <c r="V16" s="87"/>
    </row>
    <row r="17" spans="1:22" s="12" customFormat="1" ht="12" x14ac:dyDescent="0.2">
      <c r="A17" s="7" t="s">
        <v>432</v>
      </c>
      <c r="B17" s="10" t="s">
        <v>25</v>
      </c>
      <c r="C17" s="11" t="s">
        <v>55</v>
      </c>
      <c r="D17" s="11" t="s">
        <v>55</v>
      </c>
      <c r="E17" s="55">
        <v>43047</v>
      </c>
      <c r="F17" s="55">
        <v>43047</v>
      </c>
      <c r="G17" s="13" t="s">
        <v>18</v>
      </c>
      <c r="H17" s="27"/>
      <c r="I17" s="74"/>
      <c r="J17" s="113">
        <v>246.24</v>
      </c>
      <c r="K17" s="113"/>
      <c r="L17" s="113">
        <v>245.36</v>
      </c>
      <c r="M17" s="28"/>
      <c r="N17" s="28"/>
      <c r="O17" s="26"/>
      <c r="P17" s="27"/>
      <c r="Q17" s="27"/>
      <c r="R17" s="158">
        <f t="shared" si="0"/>
        <v>491.6</v>
      </c>
      <c r="S17" s="87"/>
      <c r="T17" s="160"/>
      <c r="U17" s="87"/>
      <c r="V17" s="87"/>
    </row>
    <row r="18" spans="1:22" s="12" customFormat="1" ht="12" x14ac:dyDescent="0.2">
      <c r="A18" s="10" t="s">
        <v>603</v>
      </c>
      <c r="B18" s="10" t="s">
        <v>25</v>
      </c>
      <c r="C18" s="11" t="s">
        <v>55</v>
      </c>
      <c r="D18" s="11" t="s">
        <v>55</v>
      </c>
      <c r="E18" s="55">
        <v>43047</v>
      </c>
      <c r="F18" s="55">
        <v>43047</v>
      </c>
      <c r="G18" s="13" t="s">
        <v>18</v>
      </c>
      <c r="H18" s="27"/>
      <c r="I18" s="74"/>
      <c r="J18" s="113"/>
      <c r="K18" s="113"/>
      <c r="L18" s="113">
        <v>245.36</v>
      </c>
      <c r="M18" s="28"/>
      <c r="N18" s="28"/>
      <c r="O18" s="26"/>
      <c r="P18" s="27"/>
      <c r="Q18" s="27"/>
      <c r="R18" s="158">
        <f t="shared" si="0"/>
        <v>245.36</v>
      </c>
      <c r="S18" s="87"/>
      <c r="T18" s="160"/>
      <c r="U18" s="87"/>
      <c r="V18" s="87"/>
    </row>
    <row r="19" spans="1:22" s="12" customFormat="1" ht="12" x14ac:dyDescent="0.2">
      <c r="A19" s="7" t="s">
        <v>374</v>
      </c>
      <c r="B19" s="14" t="s">
        <v>403</v>
      </c>
      <c r="C19" s="11" t="s">
        <v>64</v>
      </c>
      <c r="D19" s="11" t="s">
        <v>635</v>
      </c>
      <c r="E19" s="55">
        <v>43013</v>
      </c>
      <c r="F19" s="55">
        <v>43013</v>
      </c>
      <c r="G19" s="13" t="s">
        <v>636</v>
      </c>
      <c r="H19" s="74"/>
      <c r="I19" s="102"/>
      <c r="J19" s="113"/>
      <c r="K19" s="119">
        <v>96</v>
      </c>
      <c r="L19" s="113"/>
      <c r="M19" s="27">
        <v>11.06</v>
      </c>
      <c r="N19" s="27"/>
      <c r="O19" s="26"/>
      <c r="P19" s="27"/>
      <c r="Q19" s="27"/>
      <c r="R19" s="158">
        <f t="shared" si="0"/>
        <v>107.06</v>
      </c>
      <c r="S19" s="87"/>
      <c r="T19" s="160"/>
      <c r="U19" s="87"/>
      <c r="V19" s="87"/>
    </row>
    <row r="20" spans="1:22" s="12" customFormat="1" ht="12" x14ac:dyDescent="0.2">
      <c r="A20" s="10" t="s">
        <v>372</v>
      </c>
      <c r="B20" s="37" t="s">
        <v>538</v>
      </c>
      <c r="C20" s="11" t="s">
        <v>64</v>
      </c>
      <c r="D20" s="8" t="s">
        <v>633</v>
      </c>
      <c r="E20" s="55">
        <v>43014</v>
      </c>
      <c r="F20" s="55">
        <v>43014</v>
      </c>
      <c r="G20" s="13" t="s">
        <v>634</v>
      </c>
      <c r="H20" s="27"/>
      <c r="I20" s="74"/>
      <c r="J20" s="113"/>
      <c r="K20" s="113">
        <v>21.2</v>
      </c>
      <c r="L20" s="113"/>
      <c r="M20" s="27"/>
      <c r="N20" s="27"/>
      <c r="O20" s="26"/>
      <c r="P20" s="27"/>
      <c r="Q20" s="27"/>
      <c r="R20" s="158">
        <f t="shared" si="0"/>
        <v>21.2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302</v>
      </c>
      <c r="D21" s="8" t="s">
        <v>641</v>
      </c>
      <c r="E21" s="55">
        <v>42993</v>
      </c>
      <c r="F21" s="55">
        <v>42993</v>
      </c>
      <c r="G21" s="10" t="s">
        <v>18</v>
      </c>
      <c r="H21" s="165"/>
      <c r="I21" s="74"/>
      <c r="J21" s="113"/>
      <c r="K21" s="113">
        <f>20+19.47</f>
        <v>39.47</v>
      </c>
      <c r="L21" s="113"/>
      <c r="M21" s="28"/>
      <c r="N21" s="28"/>
      <c r="O21" s="26"/>
      <c r="P21" s="27"/>
      <c r="Q21" s="27"/>
      <c r="R21" s="158">
        <f t="shared" si="0"/>
        <v>39.47</v>
      </c>
      <c r="S21" s="159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312</v>
      </c>
      <c r="D22" s="8" t="s">
        <v>640</v>
      </c>
      <c r="E22" s="55">
        <v>42993</v>
      </c>
      <c r="F22" s="55">
        <v>42993</v>
      </c>
      <c r="G22" s="10" t="s">
        <v>326</v>
      </c>
      <c r="H22" s="165"/>
      <c r="I22" s="74"/>
      <c r="J22" s="113"/>
      <c r="K22" s="113">
        <v>28</v>
      </c>
      <c r="L22" s="113"/>
      <c r="M22" s="28"/>
      <c r="N22" s="28"/>
      <c r="O22" s="26"/>
      <c r="P22" s="27"/>
      <c r="Q22" s="27"/>
      <c r="R22" s="158">
        <f t="shared" si="0"/>
        <v>28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51" t="s">
        <v>21</v>
      </c>
      <c r="C23" s="11" t="s">
        <v>64</v>
      </c>
      <c r="D23" s="8" t="s">
        <v>622</v>
      </c>
      <c r="E23" s="55">
        <v>43004</v>
      </c>
      <c r="F23" s="55">
        <v>43004</v>
      </c>
      <c r="G23" s="13" t="s">
        <v>327</v>
      </c>
      <c r="H23" s="165"/>
      <c r="I23" s="74"/>
      <c r="J23" s="113"/>
      <c r="K23" s="113">
        <f>56+29.2+33.35</f>
        <v>118.55000000000001</v>
      </c>
      <c r="L23" s="113"/>
      <c r="M23" s="28">
        <v>28.76</v>
      </c>
      <c r="N23" s="28"/>
      <c r="O23" s="26"/>
      <c r="P23" s="27"/>
      <c r="Q23" s="27"/>
      <c r="R23" s="158">
        <f t="shared" si="0"/>
        <v>147.31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51" t="s">
        <v>21</v>
      </c>
      <c r="C24" s="11" t="s">
        <v>64</v>
      </c>
      <c r="D24" s="8" t="s">
        <v>624</v>
      </c>
      <c r="E24" s="55">
        <v>43006</v>
      </c>
      <c r="F24" s="55">
        <v>43006</v>
      </c>
      <c r="G24" s="13" t="s">
        <v>155</v>
      </c>
      <c r="H24" s="165"/>
      <c r="I24" s="74"/>
      <c r="J24" s="113"/>
      <c r="K24" s="113">
        <v>108</v>
      </c>
      <c r="L24" s="113"/>
      <c r="M24" s="28"/>
      <c r="N24" s="28"/>
      <c r="O24" s="26"/>
      <c r="P24" s="27"/>
      <c r="Q24" s="27"/>
      <c r="R24" s="158">
        <f t="shared" si="0"/>
        <v>108</v>
      </c>
      <c r="S24" s="87"/>
      <c r="T24" s="87"/>
      <c r="U24" s="87"/>
      <c r="V24" s="87"/>
    </row>
    <row r="25" spans="1:22" s="12" customFormat="1" ht="12" x14ac:dyDescent="0.2">
      <c r="A25" s="10" t="s">
        <v>576</v>
      </c>
      <c r="B25" s="151" t="s">
        <v>21</v>
      </c>
      <c r="C25" s="11" t="s">
        <v>64</v>
      </c>
      <c r="D25" s="8" t="s">
        <v>623</v>
      </c>
      <c r="E25" s="55">
        <v>43007</v>
      </c>
      <c r="F25" s="55">
        <v>43007</v>
      </c>
      <c r="G25" s="13" t="s">
        <v>118</v>
      </c>
      <c r="H25" s="165"/>
      <c r="I25" s="74"/>
      <c r="J25" s="113"/>
      <c r="K25" s="113">
        <f>40+26.55+56.4</f>
        <v>122.94999999999999</v>
      </c>
      <c r="L25" s="113"/>
      <c r="M25" s="28">
        <v>28.76</v>
      </c>
      <c r="N25" s="28"/>
      <c r="O25" s="26"/>
      <c r="P25" s="27"/>
      <c r="Q25" s="27"/>
      <c r="R25" s="158">
        <f t="shared" si="0"/>
        <v>151.70999999999998</v>
      </c>
      <c r="S25" s="87"/>
      <c r="T25" s="87"/>
      <c r="U25" s="87"/>
      <c r="V25" s="87"/>
    </row>
    <row r="26" spans="1:22" s="12" customFormat="1" ht="12" x14ac:dyDescent="0.2">
      <c r="A26" s="10" t="s">
        <v>576</v>
      </c>
      <c r="B26" s="151" t="s">
        <v>21</v>
      </c>
      <c r="C26" s="11" t="s">
        <v>312</v>
      </c>
      <c r="D26" s="11" t="s">
        <v>620</v>
      </c>
      <c r="E26" s="55">
        <v>43010</v>
      </c>
      <c r="F26" s="55">
        <v>43010</v>
      </c>
      <c r="G26" s="13" t="s">
        <v>22</v>
      </c>
      <c r="H26" s="165"/>
      <c r="I26" s="74"/>
      <c r="J26" s="113"/>
      <c r="K26" s="113">
        <v>17.2</v>
      </c>
      <c r="L26" s="113"/>
      <c r="M26" s="28"/>
      <c r="N26" s="28"/>
      <c r="O26" s="26"/>
      <c r="P26" s="27"/>
      <c r="Q26" s="27"/>
      <c r="R26" s="158">
        <f t="shared" si="0"/>
        <v>17.2</v>
      </c>
      <c r="S26" s="87"/>
      <c r="T26" s="87"/>
      <c r="U26" s="87"/>
      <c r="V26" s="87"/>
    </row>
    <row r="27" spans="1:22" s="12" customFormat="1" ht="12" x14ac:dyDescent="0.2">
      <c r="A27" s="10" t="s">
        <v>576</v>
      </c>
      <c r="B27" s="151" t="s">
        <v>21</v>
      </c>
      <c r="C27" s="11" t="s">
        <v>64</v>
      </c>
      <c r="D27" s="8" t="s">
        <v>616</v>
      </c>
      <c r="E27" s="55">
        <v>43010</v>
      </c>
      <c r="F27" s="55">
        <v>43010</v>
      </c>
      <c r="G27" s="13" t="s">
        <v>129</v>
      </c>
      <c r="H27" s="165"/>
      <c r="I27" s="74"/>
      <c r="J27" s="113"/>
      <c r="K27" s="113">
        <v>60.4</v>
      </c>
      <c r="L27" s="113"/>
      <c r="M27" s="28"/>
      <c r="N27" s="28"/>
      <c r="O27" s="26"/>
      <c r="P27" s="27"/>
      <c r="Q27" s="27"/>
      <c r="R27" s="158">
        <f t="shared" si="0"/>
        <v>60.4</v>
      </c>
      <c r="S27" s="87"/>
      <c r="T27" s="87"/>
      <c r="U27" s="87"/>
      <c r="V27" s="87"/>
    </row>
    <row r="28" spans="1:22" s="12" customFormat="1" ht="12" x14ac:dyDescent="0.2">
      <c r="A28" s="10" t="s">
        <v>576</v>
      </c>
      <c r="B28" s="151" t="s">
        <v>21</v>
      </c>
      <c r="C28" s="11" t="s">
        <v>64</v>
      </c>
      <c r="D28" s="8" t="s">
        <v>614</v>
      </c>
      <c r="E28" s="55">
        <v>43011</v>
      </c>
      <c r="F28" s="55">
        <v>43011</v>
      </c>
      <c r="G28" s="13" t="s">
        <v>615</v>
      </c>
      <c r="H28" s="165"/>
      <c r="I28" s="74"/>
      <c r="J28" s="113"/>
      <c r="K28" s="113">
        <v>42</v>
      </c>
      <c r="L28" s="113"/>
      <c r="M28" s="28"/>
      <c r="N28" s="28"/>
      <c r="O28" s="26"/>
      <c r="P28" s="27"/>
      <c r="Q28" s="27"/>
      <c r="R28" s="158">
        <f t="shared" si="0"/>
        <v>42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51" t="s">
        <v>21</v>
      </c>
      <c r="C29" s="11" t="s">
        <v>312</v>
      </c>
      <c r="D29" s="11" t="s">
        <v>606</v>
      </c>
      <c r="E29" s="55">
        <v>43012</v>
      </c>
      <c r="F29" s="55">
        <v>43012</v>
      </c>
      <c r="G29" s="13" t="s">
        <v>18</v>
      </c>
      <c r="H29" s="171">
        <v>1</v>
      </c>
      <c r="I29" s="102"/>
      <c r="J29" s="113"/>
      <c r="K29" s="113"/>
      <c r="L29" s="113"/>
      <c r="M29" s="27">
        <v>59.68</v>
      </c>
      <c r="N29" s="27"/>
      <c r="O29" s="26"/>
      <c r="P29" s="27"/>
      <c r="Q29" s="27"/>
      <c r="R29" s="158">
        <f t="shared" si="0"/>
        <v>59.68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64</v>
      </c>
      <c r="D30" s="11" t="s">
        <v>635</v>
      </c>
      <c r="E30" s="55">
        <v>43013</v>
      </c>
      <c r="F30" s="55">
        <v>43013</v>
      </c>
      <c r="G30" s="13" t="s">
        <v>636</v>
      </c>
      <c r="H30" s="165"/>
      <c r="I30" s="74"/>
      <c r="J30" s="113"/>
      <c r="K30" s="113">
        <v>12.8</v>
      </c>
      <c r="L30" s="113"/>
      <c r="M30" s="28"/>
      <c r="N30" s="28"/>
      <c r="O30" s="26"/>
      <c r="P30" s="27"/>
      <c r="Q30" s="27"/>
      <c r="R30" s="158">
        <f t="shared" si="0"/>
        <v>12.8</v>
      </c>
      <c r="S30" s="87"/>
      <c r="T30" s="87"/>
      <c r="U30" s="87"/>
      <c r="V30" s="87"/>
    </row>
    <row r="31" spans="1:22" s="12" customFormat="1" ht="12" customHeight="1" x14ac:dyDescent="0.2">
      <c r="A31" s="10" t="s">
        <v>576</v>
      </c>
      <c r="B31" s="151" t="s">
        <v>21</v>
      </c>
      <c r="C31" s="11" t="s">
        <v>64</v>
      </c>
      <c r="D31" s="8" t="s">
        <v>601</v>
      </c>
      <c r="E31" s="55">
        <v>43014</v>
      </c>
      <c r="F31" s="55">
        <v>43014</v>
      </c>
      <c r="G31" s="13" t="s">
        <v>99</v>
      </c>
      <c r="H31" s="102"/>
      <c r="I31" s="102"/>
      <c r="J31" s="113"/>
      <c r="K31" s="113">
        <f>34.51+234.75</f>
        <v>269.26</v>
      </c>
      <c r="L31" s="113">
        <v>135</v>
      </c>
      <c r="M31" s="27">
        <v>52.28</v>
      </c>
      <c r="N31" s="27"/>
      <c r="O31" s="26"/>
      <c r="P31" s="27"/>
      <c r="Q31" s="27"/>
      <c r="R31" s="158">
        <f t="shared" si="0"/>
        <v>456.53999999999996</v>
      </c>
      <c r="S31" s="159"/>
      <c r="T31" s="87"/>
      <c r="U31" s="87"/>
      <c r="V31" s="87"/>
    </row>
    <row r="32" spans="1:22" s="12" customFormat="1" ht="12" x14ac:dyDescent="0.2">
      <c r="A32" s="10" t="s">
        <v>576</v>
      </c>
      <c r="B32" s="151" t="s">
        <v>21</v>
      </c>
      <c r="C32" s="11" t="s">
        <v>64</v>
      </c>
      <c r="D32" s="8" t="s">
        <v>633</v>
      </c>
      <c r="E32" s="55">
        <v>43014</v>
      </c>
      <c r="F32" s="55">
        <v>43014</v>
      </c>
      <c r="G32" s="13" t="s">
        <v>634</v>
      </c>
      <c r="H32" s="165"/>
      <c r="I32" s="74"/>
      <c r="J32" s="113"/>
      <c r="K32" s="113">
        <f>40+48</f>
        <v>88</v>
      </c>
      <c r="L32" s="113"/>
      <c r="M32" s="28"/>
      <c r="N32" s="28"/>
      <c r="O32" s="26"/>
      <c r="P32" s="27"/>
      <c r="Q32" s="27"/>
      <c r="R32" s="158">
        <f t="shared" si="0"/>
        <v>88</v>
      </c>
      <c r="S32" s="159"/>
      <c r="T32" s="160"/>
      <c r="U32" s="87"/>
      <c r="V32" s="87"/>
    </row>
    <row r="33" spans="1:24" s="12" customFormat="1" ht="12" x14ac:dyDescent="0.2">
      <c r="A33" s="10" t="s">
        <v>576</v>
      </c>
      <c r="B33" s="151" t="s">
        <v>21</v>
      </c>
      <c r="C33" s="8" t="s">
        <v>644</v>
      </c>
      <c r="D33" s="8" t="s">
        <v>642</v>
      </c>
      <c r="E33" s="55">
        <v>43020</v>
      </c>
      <c r="F33" s="55">
        <v>43020</v>
      </c>
      <c r="G33" s="13" t="s">
        <v>18</v>
      </c>
      <c r="H33" s="165"/>
      <c r="I33" s="74"/>
      <c r="J33" s="113"/>
      <c r="K33" s="113">
        <f>13.75+14</f>
        <v>27.75</v>
      </c>
      <c r="L33" s="113"/>
      <c r="M33" s="28"/>
      <c r="N33" s="28"/>
      <c r="O33" s="26"/>
      <c r="P33" s="27"/>
      <c r="Q33" s="27"/>
      <c r="R33" s="158">
        <f t="shared" ref="R33:R52" si="1">SUM(J33:Q33)</f>
        <v>27.75</v>
      </c>
      <c r="S33" s="159"/>
      <c r="T33" s="87"/>
      <c r="U33" s="87"/>
      <c r="V33" s="87"/>
    </row>
    <row r="34" spans="1:24" s="12" customFormat="1" ht="12" x14ac:dyDescent="0.2">
      <c r="A34" s="10" t="s">
        <v>576</v>
      </c>
      <c r="B34" s="151" t="s">
        <v>21</v>
      </c>
      <c r="C34" s="11" t="s">
        <v>302</v>
      </c>
      <c r="D34" s="8" t="s">
        <v>627</v>
      </c>
      <c r="E34" s="55">
        <v>43024</v>
      </c>
      <c r="F34" s="55">
        <v>43026</v>
      </c>
      <c r="G34" s="13" t="s">
        <v>135</v>
      </c>
      <c r="H34" s="165"/>
      <c r="I34" s="74"/>
      <c r="J34" s="113">
        <v>534.74</v>
      </c>
      <c r="K34" s="113">
        <f>28+44+44+69.03</f>
        <v>185.03</v>
      </c>
      <c r="L34" s="113">
        <v>237.9</v>
      </c>
      <c r="M34" s="28">
        <f>8.85+13.98</f>
        <v>22.83</v>
      </c>
      <c r="N34" s="28"/>
      <c r="O34" s="26"/>
      <c r="P34" s="27"/>
      <c r="Q34" s="27"/>
      <c r="R34" s="158">
        <f t="shared" si="1"/>
        <v>980.5</v>
      </c>
      <c r="S34" s="159"/>
      <c r="T34" s="87"/>
      <c r="U34" s="87"/>
      <c r="V34" s="87"/>
      <c r="W34" s="150"/>
    </row>
    <row r="35" spans="1:24" s="12" customFormat="1" ht="12" x14ac:dyDescent="0.2">
      <c r="A35" s="10" t="s">
        <v>576</v>
      </c>
      <c r="B35" s="151" t="s">
        <v>21</v>
      </c>
      <c r="C35" s="11" t="s">
        <v>312</v>
      </c>
      <c r="D35" s="11" t="s">
        <v>619</v>
      </c>
      <c r="E35" s="55">
        <v>43025</v>
      </c>
      <c r="F35" s="55">
        <v>43025</v>
      </c>
      <c r="G35" s="13" t="s">
        <v>47</v>
      </c>
      <c r="H35" s="165"/>
      <c r="I35" s="74"/>
      <c r="J35" s="113"/>
      <c r="K35" s="113">
        <f>39.3+37.27</f>
        <v>76.569999999999993</v>
      </c>
      <c r="L35" s="113"/>
      <c r="M35" s="28">
        <v>14.99</v>
      </c>
      <c r="N35" s="28"/>
      <c r="O35" s="26"/>
      <c r="P35" s="27"/>
      <c r="Q35" s="27"/>
      <c r="R35" s="158">
        <f t="shared" si="1"/>
        <v>91.559999999999988</v>
      </c>
      <c r="S35" s="159"/>
      <c r="T35" s="87"/>
      <c r="U35" s="87"/>
      <c r="V35" s="87"/>
      <c r="W35" s="150"/>
    </row>
    <row r="36" spans="1:24" s="12" customFormat="1" ht="12" x14ac:dyDescent="0.2">
      <c r="A36" s="10" t="s">
        <v>576</v>
      </c>
      <c r="B36" s="151" t="s">
        <v>21</v>
      </c>
      <c r="C36" s="11" t="s">
        <v>312</v>
      </c>
      <c r="D36" s="11" t="s">
        <v>604</v>
      </c>
      <c r="E36" s="55">
        <v>43026</v>
      </c>
      <c r="F36" s="55">
        <v>43027</v>
      </c>
      <c r="G36" s="10" t="s">
        <v>47</v>
      </c>
      <c r="H36" s="74"/>
      <c r="I36" s="102"/>
      <c r="J36" s="113"/>
      <c r="K36" s="113">
        <v>28</v>
      </c>
      <c r="L36" s="113"/>
      <c r="M36" s="27">
        <v>28.76</v>
      </c>
      <c r="N36" s="27"/>
      <c r="O36" s="26"/>
      <c r="P36" s="27"/>
      <c r="Q36" s="27"/>
      <c r="R36" s="158">
        <f t="shared" si="1"/>
        <v>56.760000000000005</v>
      </c>
      <c r="S36" s="159"/>
      <c r="T36" s="87"/>
      <c r="U36" s="87"/>
      <c r="V36" s="87"/>
      <c r="W36" s="150"/>
    </row>
    <row r="37" spans="1:24" s="12" customFormat="1" ht="24" x14ac:dyDescent="0.2">
      <c r="A37" s="10" t="s">
        <v>576</v>
      </c>
      <c r="B37" s="151" t="s">
        <v>21</v>
      </c>
      <c r="C37" s="11" t="s">
        <v>302</v>
      </c>
      <c r="D37" s="11" t="s">
        <v>643</v>
      </c>
      <c r="E37" s="55">
        <v>43046</v>
      </c>
      <c r="F37" s="55">
        <v>43046</v>
      </c>
      <c r="G37" s="13" t="s">
        <v>129</v>
      </c>
      <c r="H37" s="165"/>
      <c r="I37" s="74"/>
      <c r="J37" s="113"/>
      <c r="K37" s="113">
        <v>64.8</v>
      </c>
      <c r="L37" s="113"/>
      <c r="M37" s="28">
        <v>11.06</v>
      </c>
      <c r="N37" s="28"/>
      <c r="O37" s="26"/>
      <c r="P37" s="27"/>
      <c r="Q37" s="27"/>
      <c r="R37" s="158">
        <f t="shared" si="1"/>
        <v>75.86</v>
      </c>
      <c r="S37" s="159"/>
      <c r="T37" s="87"/>
      <c r="U37" s="87"/>
      <c r="V37" s="87"/>
      <c r="W37" s="150"/>
    </row>
    <row r="38" spans="1:24" s="12" customFormat="1" ht="12" x14ac:dyDescent="0.2">
      <c r="A38" s="10" t="s">
        <v>576</v>
      </c>
      <c r="B38" s="151" t="s">
        <v>21</v>
      </c>
      <c r="C38" s="11" t="s">
        <v>55</v>
      </c>
      <c r="D38" s="11" t="s">
        <v>55</v>
      </c>
      <c r="E38" s="55">
        <v>43047</v>
      </c>
      <c r="F38" s="55">
        <v>43047</v>
      </c>
      <c r="G38" s="10" t="s">
        <v>18</v>
      </c>
      <c r="H38" s="74"/>
      <c r="I38" s="102"/>
      <c r="J38" s="113"/>
      <c r="K38" s="119"/>
      <c r="L38" s="113">
        <v>183.76</v>
      </c>
      <c r="M38" s="27">
        <v>19.91</v>
      </c>
      <c r="N38" s="27"/>
      <c r="O38" s="26"/>
      <c r="P38" s="27"/>
      <c r="Q38" s="27"/>
      <c r="R38" s="158">
        <f t="shared" si="1"/>
        <v>203.67</v>
      </c>
      <c r="S38" s="159"/>
      <c r="T38" s="87"/>
      <c r="U38" s="87"/>
      <c r="V38" s="87"/>
      <c r="W38" s="150"/>
    </row>
    <row r="39" spans="1:24" s="12" customFormat="1" ht="12" x14ac:dyDescent="0.2">
      <c r="A39" s="10" t="s">
        <v>576</v>
      </c>
      <c r="B39" s="151" t="s">
        <v>21</v>
      </c>
      <c r="C39" s="11" t="s">
        <v>288</v>
      </c>
      <c r="D39" s="8" t="s">
        <v>625</v>
      </c>
      <c r="E39" s="55">
        <v>43047</v>
      </c>
      <c r="F39" s="55">
        <v>43047</v>
      </c>
      <c r="G39" s="13" t="s">
        <v>18</v>
      </c>
      <c r="H39" s="165"/>
      <c r="I39" s="74"/>
      <c r="J39" s="113"/>
      <c r="K39" s="113">
        <f>15.93+0.3</f>
        <v>16.23</v>
      </c>
      <c r="L39" s="113"/>
      <c r="M39" s="28"/>
      <c r="N39" s="28"/>
      <c r="O39" s="26"/>
      <c r="P39" s="27"/>
      <c r="Q39" s="27"/>
      <c r="R39" s="158">
        <f t="shared" si="1"/>
        <v>16.23</v>
      </c>
      <c r="S39" s="159"/>
      <c r="T39" s="87"/>
      <c r="U39" s="87"/>
      <c r="V39" s="87"/>
      <c r="W39" s="150"/>
    </row>
    <row r="40" spans="1:24" s="12" customFormat="1" ht="12" x14ac:dyDescent="0.2">
      <c r="A40" s="10" t="s">
        <v>576</v>
      </c>
      <c r="B40" s="151" t="s">
        <v>21</v>
      </c>
      <c r="C40" s="11" t="s">
        <v>288</v>
      </c>
      <c r="D40" s="8" t="s">
        <v>612</v>
      </c>
      <c r="E40" s="55">
        <v>43051</v>
      </c>
      <c r="F40" s="55">
        <v>43053</v>
      </c>
      <c r="G40" s="13" t="s">
        <v>613</v>
      </c>
      <c r="H40" s="165"/>
      <c r="I40" s="74"/>
      <c r="J40" s="113">
        <v>784.33</v>
      </c>
      <c r="K40" s="113">
        <f>62.2+79.65</f>
        <v>141.85000000000002</v>
      </c>
      <c r="L40" s="113">
        <v>436.51</v>
      </c>
      <c r="M40" s="28">
        <f>133.72+22.5</f>
        <v>156.22</v>
      </c>
      <c r="N40" s="28">
        <v>20.91</v>
      </c>
      <c r="O40" s="26"/>
      <c r="P40" s="27"/>
      <c r="Q40" s="27"/>
      <c r="R40" s="158">
        <f t="shared" si="1"/>
        <v>1539.8200000000002</v>
      </c>
      <c r="S40" s="159"/>
      <c r="T40" s="87"/>
      <c r="U40" s="87"/>
      <c r="V40" s="87"/>
      <c r="W40" s="150"/>
    </row>
    <row r="41" spans="1:24" s="12" customFormat="1" ht="12" x14ac:dyDescent="0.2">
      <c r="A41" s="10" t="s">
        <v>576</v>
      </c>
      <c r="B41" s="151" t="s">
        <v>21</v>
      </c>
      <c r="C41" s="11" t="s">
        <v>302</v>
      </c>
      <c r="D41" s="8" t="s">
        <v>621</v>
      </c>
      <c r="E41" s="55">
        <v>43053</v>
      </c>
      <c r="F41" s="55">
        <v>43053</v>
      </c>
      <c r="G41" s="13" t="s">
        <v>18</v>
      </c>
      <c r="H41" s="165"/>
      <c r="I41" s="74"/>
      <c r="J41" s="113"/>
      <c r="K41" s="113"/>
      <c r="L41" s="113">
        <v>183.76</v>
      </c>
      <c r="M41" s="28"/>
      <c r="N41" s="28"/>
      <c r="O41" s="26"/>
      <c r="P41" s="27"/>
      <c r="Q41" s="27"/>
      <c r="R41" s="158">
        <f t="shared" si="1"/>
        <v>183.76</v>
      </c>
      <c r="S41" s="159"/>
      <c r="T41" s="87"/>
      <c r="U41" s="87"/>
      <c r="V41" s="87"/>
      <c r="X41" s="150"/>
    </row>
    <row r="42" spans="1:24" s="12" customFormat="1" ht="24" x14ac:dyDescent="0.2">
      <c r="A42" s="10" t="s">
        <v>576</v>
      </c>
      <c r="B42" s="151" t="s">
        <v>21</v>
      </c>
      <c r="C42" s="11" t="s">
        <v>288</v>
      </c>
      <c r="D42" s="11" t="s">
        <v>607</v>
      </c>
      <c r="E42" s="55">
        <v>43067</v>
      </c>
      <c r="F42" s="55">
        <v>43067</v>
      </c>
      <c r="G42" s="13" t="s">
        <v>18</v>
      </c>
      <c r="H42" s="74"/>
      <c r="I42" s="102"/>
      <c r="J42" s="113"/>
      <c r="K42" s="113">
        <v>80.8</v>
      </c>
      <c r="L42" s="113"/>
      <c r="M42" s="27"/>
      <c r="N42" s="27"/>
      <c r="O42" s="26"/>
      <c r="P42" s="27"/>
      <c r="Q42" s="27"/>
      <c r="R42" s="158">
        <f t="shared" si="1"/>
        <v>80.8</v>
      </c>
      <c r="S42" s="159"/>
      <c r="T42" s="87"/>
      <c r="U42" s="87"/>
      <c r="V42" s="87"/>
    </row>
    <row r="43" spans="1:24" s="12" customFormat="1" ht="12" x14ac:dyDescent="0.2">
      <c r="A43" s="10" t="s">
        <v>209</v>
      </c>
      <c r="B43" s="151" t="s">
        <v>25</v>
      </c>
      <c r="C43" s="11" t="s">
        <v>55</v>
      </c>
      <c r="D43" s="11" t="s">
        <v>55</v>
      </c>
      <c r="E43" s="55">
        <v>43047</v>
      </c>
      <c r="F43" s="55">
        <v>43047</v>
      </c>
      <c r="G43" s="13" t="s">
        <v>18</v>
      </c>
      <c r="H43" s="27"/>
      <c r="I43" s="74"/>
      <c r="J43" s="113">
        <f>296.25+20</f>
        <v>316.25</v>
      </c>
      <c r="K43" s="142">
        <v>228.02</v>
      </c>
      <c r="L43" s="113">
        <v>245.36</v>
      </c>
      <c r="M43" s="27">
        <v>30.97</v>
      </c>
      <c r="N43" s="27"/>
      <c r="O43" s="26"/>
      <c r="P43" s="27"/>
      <c r="Q43" s="27"/>
      <c r="R43" s="158">
        <f t="shared" si="1"/>
        <v>820.6</v>
      </c>
      <c r="S43" s="159"/>
      <c r="T43" s="87"/>
      <c r="U43" s="87"/>
      <c r="V43" s="87"/>
    </row>
    <row r="44" spans="1:24" s="12" customFormat="1" ht="12" x14ac:dyDescent="0.2">
      <c r="A44" s="10" t="s">
        <v>38</v>
      </c>
      <c r="B44" s="169" t="s">
        <v>168</v>
      </c>
      <c r="C44" s="11" t="s">
        <v>64</v>
      </c>
      <c r="D44" s="8" t="s">
        <v>609</v>
      </c>
      <c r="E44" s="55">
        <v>43012</v>
      </c>
      <c r="F44" s="55">
        <v>43012</v>
      </c>
      <c r="G44" s="13" t="s">
        <v>610</v>
      </c>
      <c r="H44" s="74"/>
      <c r="I44" s="102"/>
      <c r="J44" s="113"/>
      <c r="K44" s="113">
        <v>184</v>
      </c>
      <c r="L44" s="113"/>
      <c r="M44" s="27"/>
      <c r="N44" s="27"/>
      <c r="O44" s="26"/>
      <c r="P44" s="27"/>
      <c r="Q44" s="27"/>
      <c r="R44" s="158">
        <f t="shared" si="1"/>
        <v>184</v>
      </c>
      <c r="S44" s="159"/>
      <c r="T44" s="160"/>
      <c r="U44" s="87"/>
      <c r="V44" s="87"/>
    </row>
    <row r="45" spans="1:24" s="12" customFormat="1" ht="12" x14ac:dyDescent="0.2">
      <c r="A45" s="10" t="s">
        <v>38</v>
      </c>
      <c r="B45" s="169" t="s">
        <v>168</v>
      </c>
      <c r="C45" s="11" t="s">
        <v>64</v>
      </c>
      <c r="D45" s="8" t="s">
        <v>637</v>
      </c>
      <c r="E45" s="55">
        <v>43014</v>
      </c>
      <c r="F45" s="55">
        <v>43014</v>
      </c>
      <c r="G45" s="13" t="s">
        <v>638</v>
      </c>
      <c r="H45" s="27"/>
      <c r="I45" s="74"/>
      <c r="J45" s="113"/>
      <c r="K45" s="113">
        <v>120</v>
      </c>
      <c r="L45" s="113"/>
      <c r="M45" s="28"/>
      <c r="N45" s="28"/>
      <c r="O45" s="26"/>
      <c r="P45" s="27"/>
      <c r="Q45" s="27"/>
      <c r="R45" s="158">
        <f t="shared" si="1"/>
        <v>120</v>
      </c>
      <c r="S45" s="159"/>
      <c r="T45" s="160"/>
      <c r="U45" s="87"/>
      <c r="V45" s="87"/>
    </row>
    <row r="46" spans="1:24" s="12" customFormat="1" ht="12" x14ac:dyDescent="0.2">
      <c r="A46" s="10" t="s">
        <v>38</v>
      </c>
      <c r="B46" s="169" t="s">
        <v>168</v>
      </c>
      <c r="C46" s="11" t="s">
        <v>302</v>
      </c>
      <c r="D46" s="8" t="s">
        <v>627</v>
      </c>
      <c r="E46" s="55">
        <v>43024</v>
      </c>
      <c r="F46" s="55">
        <v>43026</v>
      </c>
      <c r="G46" s="13" t="s">
        <v>135</v>
      </c>
      <c r="H46" s="27"/>
      <c r="I46" s="74"/>
      <c r="J46" s="113"/>
      <c r="K46" s="113">
        <f>38.24+20+46</f>
        <v>104.24000000000001</v>
      </c>
      <c r="L46" s="113">
        <v>216.32</v>
      </c>
      <c r="M46" s="28"/>
      <c r="N46" s="28"/>
      <c r="O46" s="26"/>
      <c r="P46" s="27"/>
      <c r="Q46" s="27"/>
      <c r="R46" s="158">
        <f t="shared" si="1"/>
        <v>320.56</v>
      </c>
      <c r="S46" s="159"/>
      <c r="T46" s="160"/>
      <c r="U46" s="87"/>
      <c r="V46" s="87"/>
    </row>
    <row r="47" spans="1:24" s="12" customFormat="1" ht="12" x14ac:dyDescent="0.2">
      <c r="A47" s="10" t="s">
        <v>38</v>
      </c>
      <c r="B47" s="13" t="s">
        <v>168</v>
      </c>
      <c r="C47" s="11" t="s">
        <v>288</v>
      </c>
      <c r="D47" s="8" t="s">
        <v>580</v>
      </c>
      <c r="E47" s="55">
        <v>43035</v>
      </c>
      <c r="F47" s="55">
        <v>43036</v>
      </c>
      <c r="G47" s="10" t="s">
        <v>47</v>
      </c>
      <c r="H47" s="27"/>
      <c r="I47" s="74"/>
      <c r="J47" s="113"/>
      <c r="K47" s="113">
        <f>21.28+48.3+23.86</f>
        <v>93.44</v>
      </c>
      <c r="L47" s="113"/>
      <c r="M47" s="28">
        <v>19.91</v>
      </c>
      <c r="N47" s="28"/>
      <c r="O47" s="26"/>
      <c r="P47" s="27"/>
      <c r="Q47" s="27"/>
      <c r="R47" s="158">
        <f t="shared" si="1"/>
        <v>113.35</v>
      </c>
      <c r="S47" s="159"/>
      <c r="T47" s="87"/>
      <c r="U47" s="87"/>
      <c r="V47" s="87"/>
    </row>
    <row r="48" spans="1:24" s="12" customFormat="1" ht="12" x14ac:dyDescent="0.2">
      <c r="A48" s="10" t="s">
        <v>38</v>
      </c>
      <c r="B48" s="13" t="s">
        <v>168</v>
      </c>
      <c r="C48" s="11" t="s">
        <v>302</v>
      </c>
      <c r="D48" s="11" t="s">
        <v>602</v>
      </c>
      <c r="E48" s="55">
        <v>43046</v>
      </c>
      <c r="F48" s="55">
        <v>43046</v>
      </c>
      <c r="G48" s="13" t="s">
        <v>129</v>
      </c>
      <c r="H48" s="27"/>
      <c r="I48" s="74"/>
      <c r="J48" s="113"/>
      <c r="K48" s="113">
        <v>64</v>
      </c>
      <c r="L48" s="113"/>
      <c r="M48" s="28"/>
      <c r="N48" s="28"/>
      <c r="O48" s="26"/>
      <c r="P48" s="27"/>
      <c r="Q48" s="27"/>
      <c r="R48" s="158">
        <f t="shared" si="1"/>
        <v>64</v>
      </c>
      <c r="S48" s="159"/>
      <c r="T48" s="166"/>
      <c r="U48" s="87"/>
      <c r="V48" s="166"/>
    </row>
    <row r="49" spans="1:23" s="12" customFormat="1" ht="12" x14ac:dyDescent="0.2">
      <c r="A49" s="10" t="s">
        <v>38</v>
      </c>
      <c r="B49" s="13" t="s">
        <v>168</v>
      </c>
      <c r="C49" s="11" t="s">
        <v>302</v>
      </c>
      <c r="D49" s="8" t="s">
        <v>628</v>
      </c>
      <c r="E49" s="55">
        <v>43054</v>
      </c>
      <c r="F49" s="55">
        <v>43055</v>
      </c>
      <c r="G49" s="13" t="s">
        <v>180</v>
      </c>
      <c r="H49" s="27"/>
      <c r="I49" s="74"/>
      <c r="J49" s="113">
        <f>75+40+150</f>
        <v>265</v>
      </c>
      <c r="K49" s="113">
        <f>73.6+42.6+67.85+43.59</f>
        <v>227.64</v>
      </c>
      <c r="L49" s="113">
        <v>208.88</v>
      </c>
      <c r="M49" s="28">
        <v>11.06</v>
      </c>
      <c r="N49" s="28"/>
      <c r="O49" s="26"/>
      <c r="P49" s="27"/>
      <c r="Q49" s="27"/>
      <c r="R49" s="158">
        <f t="shared" si="1"/>
        <v>712.57999999999993</v>
      </c>
      <c r="S49" s="159"/>
      <c r="T49" s="87"/>
      <c r="U49" s="87"/>
      <c r="V49" s="87"/>
    </row>
    <row r="50" spans="1:23" s="12" customFormat="1" ht="12" x14ac:dyDescent="0.2">
      <c r="A50" s="10" t="s">
        <v>38</v>
      </c>
      <c r="B50" s="13" t="s">
        <v>168</v>
      </c>
      <c r="C50" s="11" t="s">
        <v>302</v>
      </c>
      <c r="D50" s="8" t="s">
        <v>581</v>
      </c>
      <c r="E50" s="55">
        <v>43068</v>
      </c>
      <c r="F50" s="55">
        <v>43068</v>
      </c>
      <c r="G50" s="13" t="s">
        <v>18</v>
      </c>
      <c r="H50" s="74"/>
      <c r="I50" s="102"/>
      <c r="J50" s="113"/>
      <c r="K50" s="113">
        <f>7</f>
        <v>7</v>
      </c>
      <c r="L50" s="113"/>
      <c r="M50" s="27"/>
      <c r="N50" s="27"/>
      <c r="O50" s="26"/>
      <c r="P50" s="27"/>
      <c r="Q50" s="27"/>
      <c r="R50" s="158">
        <f t="shared" si="1"/>
        <v>7</v>
      </c>
      <c r="S50" s="159"/>
      <c r="T50" s="87"/>
      <c r="U50" s="87"/>
      <c r="V50" s="87"/>
    </row>
    <row r="51" spans="1:23" s="12" customFormat="1" ht="12" x14ac:dyDescent="0.2">
      <c r="A51" s="10" t="s">
        <v>323</v>
      </c>
      <c r="B51" s="10" t="s">
        <v>25</v>
      </c>
      <c r="C51" s="11" t="s">
        <v>55</v>
      </c>
      <c r="D51" s="11" t="s">
        <v>55</v>
      </c>
      <c r="E51" s="55">
        <v>43047</v>
      </c>
      <c r="F51" s="55">
        <v>43047</v>
      </c>
      <c r="G51" s="13" t="s">
        <v>18</v>
      </c>
      <c r="H51" s="74"/>
      <c r="I51" s="102"/>
      <c r="J51" s="113"/>
      <c r="K51" s="113"/>
      <c r="L51" s="113">
        <v>245.36</v>
      </c>
      <c r="M51" s="27"/>
      <c r="N51" s="27"/>
      <c r="O51" s="26"/>
      <c r="P51" s="27"/>
      <c r="Q51" s="27"/>
      <c r="R51" s="158">
        <f t="shared" si="1"/>
        <v>245.36</v>
      </c>
      <c r="S51" s="159"/>
      <c r="T51" s="160"/>
      <c r="U51" s="87"/>
      <c r="V51" s="87"/>
    </row>
    <row r="52" spans="1:23" s="12" customFormat="1" ht="12" x14ac:dyDescent="0.2">
      <c r="A52" s="10" t="s">
        <v>323</v>
      </c>
      <c r="B52" s="10" t="s">
        <v>25</v>
      </c>
      <c r="C52" s="11" t="s">
        <v>302</v>
      </c>
      <c r="D52" s="11" t="s">
        <v>605</v>
      </c>
      <c r="E52" s="55">
        <v>43076</v>
      </c>
      <c r="F52" s="55">
        <v>43076</v>
      </c>
      <c r="G52" s="13" t="s">
        <v>18</v>
      </c>
      <c r="H52" s="74"/>
      <c r="I52" s="102"/>
      <c r="J52" s="113"/>
      <c r="K52" s="113"/>
      <c r="L52" s="113">
        <v>132.41999999999999</v>
      </c>
      <c r="M52" s="27"/>
      <c r="N52" s="27"/>
      <c r="O52" s="26"/>
      <c r="P52" s="27"/>
      <c r="Q52" s="27"/>
      <c r="R52" s="158">
        <f t="shared" si="1"/>
        <v>132.41999999999999</v>
      </c>
      <c r="S52" s="159"/>
      <c r="T52" s="160"/>
      <c r="U52" s="166"/>
      <c r="V52" s="87"/>
    </row>
    <row r="53" spans="1:23" x14ac:dyDescent="0.2">
      <c r="V53" s="111"/>
      <c r="W53" s="9"/>
    </row>
    <row r="54" spans="1:23" x14ac:dyDescent="0.2">
      <c r="U54" s="168"/>
      <c r="V54" s="111"/>
      <c r="W54" s="9"/>
    </row>
    <row r="55" spans="1:23" x14ac:dyDescent="0.2">
      <c r="U55" s="168"/>
      <c r="V55" s="111"/>
      <c r="W55" s="9"/>
    </row>
    <row r="56" spans="1:23" x14ac:dyDescent="0.2">
      <c r="U56" s="168"/>
      <c r="V56" s="111"/>
      <c r="W56" s="9"/>
    </row>
    <row r="57" spans="1:23" x14ac:dyDescent="0.2">
      <c r="U57" s="168"/>
      <c r="V57" s="111"/>
      <c r="W57" s="9"/>
    </row>
    <row r="58" spans="1:23" x14ac:dyDescent="0.2">
      <c r="U58" s="168"/>
      <c r="V58" s="111"/>
      <c r="W58" s="9"/>
    </row>
    <row r="59" spans="1:23" x14ac:dyDescent="0.2">
      <c r="U59" s="168"/>
      <c r="V59" s="111"/>
      <c r="W59" s="9"/>
    </row>
    <row r="60" spans="1:23" x14ac:dyDescent="0.2">
      <c r="U60" s="168"/>
      <c r="V60" s="111"/>
      <c r="W60" s="9"/>
    </row>
    <row r="61" spans="1:23" x14ac:dyDescent="0.2">
      <c r="V61" s="111"/>
      <c r="W61" s="9"/>
    </row>
    <row r="62" spans="1:23" x14ac:dyDescent="0.2">
      <c r="V62" s="111"/>
      <c r="W62" s="9"/>
    </row>
    <row r="63" spans="1:23" x14ac:dyDescent="0.2">
      <c r="V63" s="111"/>
      <c r="W63" s="9"/>
    </row>
    <row r="64" spans="1:23" x14ac:dyDescent="0.2">
      <c r="V64" s="111"/>
      <c r="W64" s="9"/>
    </row>
    <row r="65" spans="22:23" x14ac:dyDescent="0.2">
      <c r="V65" s="111"/>
      <c r="W65" s="9"/>
    </row>
    <row r="66" spans="22:23" x14ac:dyDescent="0.2">
      <c r="V66" s="111"/>
      <c r="W66" s="9"/>
    </row>
    <row r="67" spans="22:23" x14ac:dyDescent="0.2">
      <c r="V67" s="111"/>
      <c r="W67" s="9"/>
    </row>
    <row r="68" spans="22:23" x14ac:dyDescent="0.2">
      <c r="V68" s="111"/>
      <c r="W68" s="9"/>
    </row>
  </sheetData>
  <autoFilter ref="A1:X52" xr:uid="{00000000-0009-0000-0000-000018000000}"/>
  <sortState xmlns:xlrd2="http://schemas.microsoft.com/office/spreadsheetml/2017/richdata2"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53"/>
  <sheetViews>
    <sheetView zoomScale="85" zoomScaleNormal="85" workbookViewId="0">
      <pane ySplit="1" topLeftCell="A2" activePane="bottomLeft" state="frozen"/>
      <selection activeCell="D39" sqref="D39"/>
      <selection pane="bottomLeft" activeCell="C18" sqref="C18:D18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52.125" bestFit="1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312</v>
      </c>
      <c r="D2" s="11" t="s">
        <v>672</v>
      </c>
      <c r="E2" s="55">
        <v>43080</v>
      </c>
      <c r="F2" s="55">
        <v>43080</v>
      </c>
      <c r="G2" s="13" t="s">
        <v>47</v>
      </c>
      <c r="H2" s="165"/>
      <c r="I2" s="74"/>
      <c r="J2" s="113"/>
      <c r="K2" s="113">
        <v>85.52</v>
      </c>
      <c r="L2" s="113"/>
      <c r="M2" s="28"/>
      <c r="N2" s="28"/>
      <c r="O2" s="26"/>
      <c r="P2" s="27"/>
      <c r="Q2" s="27"/>
      <c r="R2" s="158">
        <f t="shared" ref="R2:R26" si="0">SUM(J2:Q2)</f>
        <v>85.52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670</v>
      </c>
      <c r="E3" s="55">
        <v>43115</v>
      </c>
      <c r="F3" s="55">
        <v>43115</v>
      </c>
      <c r="G3" s="13" t="s">
        <v>129</v>
      </c>
      <c r="H3" s="165"/>
      <c r="I3" s="74"/>
      <c r="J3" s="113"/>
      <c r="K3" s="113">
        <v>82</v>
      </c>
      <c r="L3" s="113"/>
      <c r="M3" s="28"/>
      <c r="N3" s="28"/>
      <c r="O3" s="26"/>
      <c r="P3" s="27"/>
      <c r="Q3" s="27"/>
      <c r="R3" s="158">
        <f t="shared" si="0"/>
        <v>82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64</v>
      </c>
      <c r="D4" s="8" t="s">
        <v>669</v>
      </c>
      <c r="E4" s="55">
        <v>43116</v>
      </c>
      <c r="F4" s="55">
        <v>43116</v>
      </c>
      <c r="G4" s="13" t="s">
        <v>638</v>
      </c>
      <c r="H4" s="165"/>
      <c r="I4" s="74"/>
      <c r="J4" s="113">
        <v>713.25</v>
      </c>
      <c r="K4" s="113">
        <f>57.35+26.54</f>
        <v>83.89</v>
      </c>
      <c r="L4" s="113">
        <v>144</v>
      </c>
      <c r="M4" s="28">
        <v>19.91</v>
      </c>
      <c r="N4" s="28"/>
      <c r="O4" s="26"/>
      <c r="P4" s="27"/>
      <c r="Q4" s="27"/>
      <c r="R4" s="158">
        <f t="shared" si="0"/>
        <v>961.05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64</v>
      </c>
      <c r="D5" s="11" t="s">
        <v>671</v>
      </c>
      <c r="E5" s="55">
        <v>43118</v>
      </c>
      <c r="F5" s="55">
        <v>43118</v>
      </c>
      <c r="G5" s="13" t="s">
        <v>22</v>
      </c>
      <c r="H5" s="165"/>
      <c r="I5" s="74"/>
      <c r="J5" s="113"/>
      <c r="K5" s="113">
        <v>14.16</v>
      </c>
      <c r="L5" s="113"/>
      <c r="M5" s="28"/>
      <c r="N5" s="28"/>
      <c r="O5" s="26"/>
      <c r="P5" s="27"/>
      <c r="Q5" s="27"/>
      <c r="R5" s="158">
        <f t="shared" si="0"/>
        <v>14.16</v>
      </c>
      <c r="S5" s="87"/>
      <c r="T5" s="87"/>
      <c r="U5" s="87"/>
      <c r="V5" s="87"/>
    </row>
    <row r="6" spans="1:24" s="12" customFormat="1" ht="12" x14ac:dyDescent="0.2">
      <c r="A6" s="7" t="s">
        <v>31</v>
      </c>
      <c r="B6" s="14" t="s">
        <v>597</v>
      </c>
      <c r="C6" s="11" t="s">
        <v>302</v>
      </c>
      <c r="D6" s="11" t="s">
        <v>684</v>
      </c>
      <c r="E6" s="55">
        <v>43125</v>
      </c>
      <c r="F6" s="55">
        <v>43125</v>
      </c>
      <c r="G6" s="13" t="s">
        <v>18</v>
      </c>
      <c r="H6" s="74"/>
      <c r="I6" s="102"/>
      <c r="J6" s="113">
        <v>344.25</v>
      </c>
      <c r="K6" s="119"/>
      <c r="L6" s="113"/>
      <c r="M6" s="27"/>
      <c r="N6" s="27"/>
      <c r="O6" s="26"/>
      <c r="P6" s="27"/>
      <c r="Q6" s="27"/>
      <c r="R6" s="158">
        <f t="shared" si="0"/>
        <v>344.25</v>
      </c>
      <c r="S6" s="87"/>
      <c r="T6" s="87"/>
      <c r="U6" s="87"/>
      <c r="V6" s="87"/>
    </row>
    <row r="7" spans="1:24" s="12" customFormat="1" ht="12" customHeight="1" x14ac:dyDescent="0.2">
      <c r="A7" s="7" t="s">
        <v>31</v>
      </c>
      <c r="B7" s="170" t="s">
        <v>597</v>
      </c>
      <c r="C7" s="11" t="s">
        <v>107</v>
      </c>
      <c r="D7" s="11" t="s">
        <v>667</v>
      </c>
      <c r="E7" s="55">
        <v>43131</v>
      </c>
      <c r="F7" s="55">
        <v>43132</v>
      </c>
      <c r="G7" s="13" t="s">
        <v>47</v>
      </c>
      <c r="H7" s="27"/>
      <c r="I7" s="74"/>
      <c r="J7" s="113">
        <f>253.54+42</f>
        <v>295.53999999999996</v>
      </c>
      <c r="K7" s="113">
        <f>46.66+57+68.05+53.1</f>
        <v>224.80999999999997</v>
      </c>
      <c r="L7" s="113">
        <v>143.52000000000001</v>
      </c>
      <c r="M7" s="28">
        <v>83.75</v>
      </c>
      <c r="N7" s="28"/>
      <c r="O7" s="26"/>
      <c r="P7" s="27"/>
      <c r="Q7" s="27"/>
      <c r="R7" s="158">
        <f t="shared" si="0"/>
        <v>747.61999999999989</v>
      </c>
      <c r="S7" s="87"/>
      <c r="T7" s="160"/>
      <c r="U7" s="87"/>
      <c r="V7" s="87"/>
      <c r="X7" s="161"/>
    </row>
    <row r="8" spans="1:24" s="12" customFormat="1" ht="12" customHeight="1" x14ac:dyDescent="0.2">
      <c r="A8" s="7" t="s">
        <v>31</v>
      </c>
      <c r="B8" s="170" t="s">
        <v>597</v>
      </c>
      <c r="C8" s="11" t="s">
        <v>288</v>
      </c>
      <c r="D8" s="8" t="s">
        <v>666</v>
      </c>
      <c r="E8" s="55">
        <v>43181</v>
      </c>
      <c r="F8" s="55">
        <v>43182</v>
      </c>
      <c r="G8" s="13" t="s">
        <v>171</v>
      </c>
      <c r="H8" s="27"/>
      <c r="I8" s="74"/>
      <c r="J8" s="113"/>
      <c r="K8" s="113">
        <f>54.71+12.64+7.75</f>
        <v>75.099999999999994</v>
      </c>
      <c r="L8" s="113">
        <v>448</v>
      </c>
      <c r="M8" s="27"/>
      <c r="N8" s="27"/>
      <c r="O8" s="26"/>
      <c r="P8" s="27"/>
      <c r="Q8" s="27"/>
      <c r="R8" s="158">
        <f t="shared" si="0"/>
        <v>523.1</v>
      </c>
      <c r="S8" s="87"/>
      <c r="T8" s="160"/>
      <c r="U8" s="87"/>
      <c r="V8" s="87"/>
      <c r="X8" s="161"/>
    </row>
    <row r="9" spans="1:24" s="12" customFormat="1" ht="12" x14ac:dyDescent="0.2">
      <c r="A9" s="7" t="s">
        <v>31</v>
      </c>
      <c r="B9" s="170" t="s">
        <v>597</v>
      </c>
      <c r="C9" s="11" t="s">
        <v>107</v>
      </c>
      <c r="D9" s="8" t="s">
        <v>668</v>
      </c>
      <c r="E9" s="55">
        <v>43181</v>
      </c>
      <c r="F9" s="55">
        <v>43183</v>
      </c>
      <c r="G9" s="10" t="s">
        <v>171</v>
      </c>
      <c r="H9" s="165"/>
      <c r="I9" s="74"/>
      <c r="J9" s="113">
        <f>741.83+151+100</f>
        <v>992.83</v>
      </c>
      <c r="K9" s="113"/>
      <c r="L9" s="113"/>
      <c r="M9" s="28"/>
      <c r="N9" s="28"/>
      <c r="O9" s="26"/>
      <c r="P9" s="27"/>
      <c r="Q9" s="27"/>
      <c r="R9" s="158">
        <f t="shared" si="0"/>
        <v>992.83</v>
      </c>
      <c r="S9" s="87"/>
      <c r="T9" s="160"/>
      <c r="U9" s="87"/>
      <c r="V9" s="87"/>
    </row>
    <row r="10" spans="1:24" s="12" customFormat="1" ht="12" x14ac:dyDescent="0.2">
      <c r="A10" s="7" t="s">
        <v>432</v>
      </c>
      <c r="B10" s="151" t="s">
        <v>25</v>
      </c>
      <c r="C10" s="11" t="s">
        <v>64</v>
      </c>
      <c r="D10" s="8" t="s">
        <v>675</v>
      </c>
      <c r="E10" s="55">
        <v>43121</v>
      </c>
      <c r="F10" s="55">
        <v>43122</v>
      </c>
      <c r="G10" s="13" t="s">
        <v>18</v>
      </c>
      <c r="H10" s="74"/>
      <c r="I10" s="102"/>
      <c r="J10" s="113">
        <f>465.14+102.33</f>
        <v>567.47</v>
      </c>
      <c r="K10" s="113"/>
      <c r="L10" s="113">
        <v>138.58000000000001</v>
      </c>
      <c r="M10" s="27"/>
      <c r="N10" s="27"/>
      <c r="O10" s="26"/>
      <c r="P10" s="27"/>
      <c r="Q10" s="27"/>
      <c r="R10" s="158">
        <f t="shared" si="0"/>
        <v>706.05000000000007</v>
      </c>
      <c r="S10" s="87"/>
      <c r="T10" s="160"/>
      <c r="U10" s="87"/>
      <c r="V10" s="87"/>
    </row>
    <row r="11" spans="1:24" s="12" customFormat="1" ht="12" x14ac:dyDescent="0.2">
      <c r="A11" s="7" t="s">
        <v>432</v>
      </c>
      <c r="B11" s="151" t="s">
        <v>25</v>
      </c>
      <c r="C11" s="11" t="s">
        <v>55</v>
      </c>
      <c r="D11" s="11" t="s">
        <v>55</v>
      </c>
      <c r="E11" s="55">
        <v>43159</v>
      </c>
      <c r="F11" s="55">
        <v>43161</v>
      </c>
      <c r="G11" s="13" t="s">
        <v>18</v>
      </c>
      <c r="H11" s="165"/>
      <c r="I11" s="74"/>
      <c r="J11" s="113">
        <v>409.24</v>
      </c>
      <c r="K11" s="113"/>
      <c r="L11" s="113"/>
      <c r="M11" s="28"/>
      <c r="N11" s="28"/>
      <c r="O11" s="26"/>
      <c r="P11" s="27"/>
      <c r="Q11" s="27"/>
      <c r="R11" s="158">
        <f t="shared" si="0"/>
        <v>409.24</v>
      </c>
      <c r="S11" s="87"/>
      <c r="T11" s="160"/>
      <c r="U11" s="87"/>
      <c r="V11" s="87"/>
    </row>
    <row r="12" spans="1:24" s="12" customFormat="1" ht="12" x14ac:dyDescent="0.2">
      <c r="A12" s="10" t="s">
        <v>372</v>
      </c>
      <c r="B12" s="173" t="s">
        <v>538</v>
      </c>
      <c r="C12" s="8" t="s">
        <v>476</v>
      </c>
      <c r="D12" s="11" t="s">
        <v>657</v>
      </c>
      <c r="E12" s="55">
        <v>43178</v>
      </c>
      <c r="F12" s="55">
        <v>43181</v>
      </c>
      <c r="G12" s="13" t="s">
        <v>18</v>
      </c>
      <c r="H12" s="27"/>
      <c r="I12" s="74"/>
      <c r="J12" s="113"/>
      <c r="K12" s="113">
        <f>8.75+9</f>
        <v>17.75</v>
      </c>
      <c r="L12" s="113"/>
      <c r="M12" s="28"/>
      <c r="N12" s="28"/>
      <c r="O12" s="26"/>
      <c r="P12" s="27"/>
      <c r="Q12" s="27"/>
      <c r="R12" s="158">
        <f t="shared" si="0"/>
        <v>17.75</v>
      </c>
      <c r="S12" s="87"/>
      <c r="T12" s="160"/>
      <c r="U12" s="87"/>
      <c r="V12" s="87"/>
    </row>
    <row r="13" spans="1:24" s="12" customFormat="1" ht="12" x14ac:dyDescent="0.2">
      <c r="A13" s="10" t="s">
        <v>431</v>
      </c>
      <c r="B13" s="151" t="s">
        <v>25</v>
      </c>
      <c r="C13" s="11" t="s">
        <v>55</v>
      </c>
      <c r="D13" s="11" t="s">
        <v>55</v>
      </c>
      <c r="E13" s="55">
        <v>43159</v>
      </c>
      <c r="F13" s="55">
        <v>43160</v>
      </c>
      <c r="G13" s="13" t="s">
        <v>18</v>
      </c>
      <c r="H13" s="171"/>
      <c r="I13" s="102"/>
      <c r="J13" s="113">
        <f>586.25+33.9</f>
        <v>620.15</v>
      </c>
      <c r="K13" s="113">
        <v>107</v>
      </c>
      <c r="L13" s="113">
        <f>164.25+164.25</f>
        <v>328.5</v>
      </c>
      <c r="M13" s="27">
        <v>19.91</v>
      </c>
      <c r="N13" s="27"/>
      <c r="O13" s="26"/>
      <c r="P13" s="27"/>
      <c r="Q13" s="27"/>
      <c r="R13" s="158">
        <f t="shared" si="0"/>
        <v>1075.5600000000002</v>
      </c>
      <c r="S13" s="87"/>
      <c r="T13" s="160"/>
      <c r="U13" s="87"/>
      <c r="V13" s="87"/>
    </row>
    <row r="14" spans="1:24" s="12" customFormat="1" ht="12" x14ac:dyDescent="0.2">
      <c r="A14" s="10" t="s">
        <v>674</v>
      </c>
      <c r="B14" s="10" t="s">
        <v>25</v>
      </c>
      <c r="C14" s="11" t="s">
        <v>55</v>
      </c>
      <c r="D14" s="11" t="s">
        <v>55</v>
      </c>
      <c r="E14" s="55">
        <v>43047</v>
      </c>
      <c r="F14" s="55">
        <v>43047</v>
      </c>
      <c r="G14" s="13" t="s">
        <v>18</v>
      </c>
      <c r="H14" s="165"/>
      <c r="I14" s="74"/>
      <c r="J14" s="113"/>
      <c r="K14" s="113">
        <v>51.2</v>
      </c>
      <c r="L14" s="113"/>
      <c r="M14" s="28"/>
      <c r="N14" s="28"/>
      <c r="O14" s="26"/>
      <c r="P14" s="27"/>
      <c r="Q14" s="27"/>
      <c r="R14" s="158">
        <f t="shared" si="0"/>
        <v>51.2</v>
      </c>
      <c r="S14" s="87"/>
      <c r="T14" s="160"/>
      <c r="U14" s="87"/>
      <c r="V14" s="87"/>
    </row>
    <row r="15" spans="1:24" s="12" customFormat="1" ht="12" x14ac:dyDescent="0.2">
      <c r="A15" s="10" t="s">
        <v>674</v>
      </c>
      <c r="B15" s="151" t="s">
        <v>25</v>
      </c>
      <c r="C15" s="11" t="s">
        <v>55</v>
      </c>
      <c r="D15" s="11" t="s">
        <v>55</v>
      </c>
      <c r="E15" s="55">
        <v>43160</v>
      </c>
      <c r="F15" s="55">
        <v>43160</v>
      </c>
      <c r="G15" s="13" t="s">
        <v>18</v>
      </c>
      <c r="H15" s="102"/>
      <c r="I15" s="102"/>
      <c r="J15" s="113"/>
      <c r="K15" s="113">
        <v>38</v>
      </c>
      <c r="L15" s="113"/>
      <c r="M15" s="27"/>
      <c r="N15" s="27"/>
      <c r="O15" s="26"/>
      <c r="P15" s="27"/>
      <c r="Q15" s="27"/>
      <c r="R15" s="158">
        <f t="shared" si="0"/>
        <v>38</v>
      </c>
      <c r="S15" s="87"/>
      <c r="T15" s="160"/>
      <c r="U15" s="87"/>
      <c r="V15" s="87"/>
    </row>
    <row r="16" spans="1:24" s="12" customFormat="1" ht="12" x14ac:dyDescent="0.2">
      <c r="A16" s="10" t="s">
        <v>576</v>
      </c>
      <c r="B16" s="151" t="s">
        <v>21</v>
      </c>
      <c r="C16" s="11" t="s">
        <v>288</v>
      </c>
      <c r="D16" s="8" t="s">
        <v>625</v>
      </c>
      <c r="E16" s="55">
        <v>43047</v>
      </c>
      <c r="F16" s="55">
        <v>43047</v>
      </c>
      <c r="G16" s="13" t="s">
        <v>18</v>
      </c>
      <c r="H16" s="74"/>
      <c r="I16" s="102"/>
      <c r="J16" s="113"/>
      <c r="K16" s="119"/>
      <c r="L16" s="113"/>
      <c r="M16" s="27">
        <v>11.06</v>
      </c>
      <c r="N16" s="27"/>
      <c r="O16" s="26"/>
      <c r="P16" s="27"/>
      <c r="Q16" s="27"/>
      <c r="R16" s="158">
        <f t="shared" si="0"/>
        <v>11.06</v>
      </c>
      <c r="S16" s="87"/>
      <c r="T16" s="160"/>
      <c r="U16" s="87"/>
      <c r="V16" s="87"/>
    </row>
    <row r="17" spans="1:22" s="12" customFormat="1" ht="12" x14ac:dyDescent="0.2">
      <c r="A17" s="10" t="s">
        <v>576</v>
      </c>
      <c r="B17" s="151" t="s">
        <v>21</v>
      </c>
      <c r="C17" s="11" t="s">
        <v>312</v>
      </c>
      <c r="D17" s="8" t="s">
        <v>645</v>
      </c>
      <c r="E17" s="55">
        <v>43069</v>
      </c>
      <c r="F17" s="55">
        <v>43069</v>
      </c>
      <c r="G17" s="13" t="s">
        <v>646</v>
      </c>
      <c r="H17" s="74"/>
      <c r="I17" s="102"/>
      <c r="J17" s="113"/>
      <c r="K17" s="119">
        <v>40</v>
      </c>
      <c r="L17" s="113"/>
      <c r="M17" s="27"/>
      <c r="N17" s="27"/>
      <c r="O17" s="26"/>
      <c r="P17" s="27"/>
      <c r="Q17" s="27"/>
      <c r="R17" s="158">
        <f t="shared" si="0"/>
        <v>40</v>
      </c>
      <c r="S17" s="87"/>
      <c r="T17" s="160"/>
      <c r="U17" s="87"/>
      <c r="V17" s="87"/>
    </row>
    <row r="18" spans="1:22" s="12" customFormat="1" ht="12" x14ac:dyDescent="0.2">
      <c r="A18" s="10" t="s">
        <v>576</v>
      </c>
      <c r="B18" s="151" t="s">
        <v>21</v>
      </c>
      <c r="C18" s="11" t="s">
        <v>312</v>
      </c>
      <c r="D18" s="8" t="s">
        <v>647</v>
      </c>
      <c r="E18" s="55">
        <v>43089</v>
      </c>
      <c r="F18" s="55">
        <v>43089</v>
      </c>
      <c r="G18" s="13" t="s">
        <v>648</v>
      </c>
      <c r="H18" s="27"/>
      <c r="I18" s="74"/>
      <c r="J18" s="113"/>
      <c r="K18" s="113">
        <v>28</v>
      </c>
      <c r="L18" s="113"/>
      <c r="M18" s="28"/>
      <c r="N18" s="28"/>
      <c r="O18" s="26"/>
      <c r="P18" s="27"/>
      <c r="Q18" s="27"/>
      <c r="R18" s="158">
        <f t="shared" si="0"/>
        <v>28</v>
      </c>
      <c r="S18" s="87"/>
      <c r="T18" s="160"/>
      <c r="U18" s="87"/>
      <c r="V18" s="87"/>
    </row>
    <row r="19" spans="1:22" s="12" customFormat="1" ht="12" x14ac:dyDescent="0.2">
      <c r="A19" s="10" t="s">
        <v>576</v>
      </c>
      <c r="B19" s="151" t="s">
        <v>21</v>
      </c>
      <c r="C19" s="11" t="s">
        <v>64</v>
      </c>
      <c r="D19" s="11" t="s">
        <v>649</v>
      </c>
      <c r="E19" s="55">
        <v>43109</v>
      </c>
      <c r="F19" s="55">
        <v>43109</v>
      </c>
      <c r="G19" s="13" t="s">
        <v>650</v>
      </c>
      <c r="H19" s="74"/>
      <c r="I19" s="102"/>
      <c r="J19" s="113"/>
      <c r="K19" s="119">
        <v>92</v>
      </c>
      <c r="L19" s="113"/>
      <c r="M19" s="27"/>
      <c r="N19" s="27"/>
      <c r="O19" s="26"/>
      <c r="P19" s="27"/>
      <c r="Q19" s="27"/>
      <c r="R19" s="158">
        <f t="shared" si="0"/>
        <v>92</v>
      </c>
      <c r="S19" s="87"/>
      <c r="T19" s="160"/>
      <c r="U19" s="87"/>
      <c r="V19" s="87"/>
    </row>
    <row r="20" spans="1:22" s="12" customFormat="1" ht="12" x14ac:dyDescent="0.2">
      <c r="A20" s="10" t="s">
        <v>576</v>
      </c>
      <c r="B20" s="10" t="s">
        <v>21</v>
      </c>
      <c r="C20" s="11" t="s">
        <v>64</v>
      </c>
      <c r="D20" s="11" t="s">
        <v>654</v>
      </c>
      <c r="E20" s="55">
        <v>43110</v>
      </c>
      <c r="F20" s="55">
        <v>43110</v>
      </c>
      <c r="G20" s="13" t="s">
        <v>280</v>
      </c>
      <c r="H20" s="74"/>
      <c r="I20" s="102"/>
      <c r="J20" s="113"/>
      <c r="K20" s="119">
        <v>54</v>
      </c>
      <c r="L20" s="113"/>
      <c r="M20" s="27"/>
      <c r="N20" s="27"/>
      <c r="O20" s="26"/>
      <c r="P20" s="27"/>
      <c r="Q20" s="27"/>
      <c r="R20" s="158">
        <f t="shared" si="0"/>
        <v>54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64</v>
      </c>
      <c r="D21" s="11" t="s">
        <v>651</v>
      </c>
      <c r="E21" s="55">
        <v>43115</v>
      </c>
      <c r="F21" s="55">
        <v>43117</v>
      </c>
      <c r="G21" s="13" t="s">
        <v>251</v>
      </c>
      <c r="H21" s="74"/>
      <c r="I21" s="102"/>
      <c r="J21" s="113"/>
      <c r="K21" s="119"/>
      <c r="L21" s="113">
        <v>236.56</v>
      </c>
      <c r="M21" s="27">
        <v>56.8</v>
      </c>
      <c r="N21" s="27"/>
      <c r="O21" s="26"/>
      <c r="P21" s="27"/>
      <c r="Q21" s="27"/>
      <c r="R21" s="158">
        <f t="shared" si="0"/>
        <v>293.36</v>
      </c>
      <c r="S21" s="87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64</v>
      </c>
      <c r="D22" s="11" t="s">
        <v>652</v>
      </c>
      <c r="E22" s="55">
        <v>43115</v>
      </c>
      <c r="F22" s="55">
        <v>43116</v>
      </c>
      <c r="G22" s="13" t="s">
        <v>251</v>
      </c>
      <c r="H22" s="74"/>
      <c r="I22" s="102"/>
      <c r="J22" s="113"/>
      <c r="K22" s="119">
        <v>109.6</v>
      </c>
      <c r="L22" s="113"/>
      <c r="M22" s="27"/>
      <c r="N22" s="27"/>
      <c r="O22" s="26"/>
      <c r="P22" s="27"/>
      <c r="Q22" s="27"/>
      <c r="R22" s="158">
        <f t="shared" si="0"/>
        <v>109.6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0" t="s">
        <v>21</v>
      </c>
      <c r="C23" s="11" t="s">
        <v>64</v>
      </c>
      <c r="D23" s="11" t="s">
        <v>653</v>
      </c>
      <c r="E23" s="55">
        <v>43117</v>
      </c>
      <c r="F23" s="55">
        <v>43117</v>
      </c>
      <c r="G23" s="13" t="s">
        <v>296</v>
      </c>
      <c r="H23" s="74"/>
      <c r="I23" s="102"/>
      <c r="J23" s="113"/>
      <c r="K23" s="119">
        <v>146</v>
      </c>
      <c r="L23" s="113"/>
      <c r="M23" s="27"/>
      <c r="N23" s="27"/>
      <c r="O23" s="26"/>
      <c r="P23" s="27"/>
      <c r="Q23" s="27"/>
      <c r="R23" s="158">
        <f t="shared" si="0"/>
        <v>146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0" t="s">
        <v>21</v>
      </c>
      <c r="C24" s="11" t="s">
        <v>64</v>
      </c>
      <c r="D24" s="11" t="s">
        <v>664</v>
      </c>
      <c r="E24" s="55">
        <v>43118</v>
      </c>
      <c r="F24" s="55">
        <v>43119</v>
      </c>
      <c r="G24" s="13" t="s">
        <v>47</v>
      </c>
      <c r="H24" s="74"/>
      <c r="I24" s="102"/>
      <c r="J24" s="113">
        <v>394.25</v>
      </c>
      <c r="K24" s="119">
        <f>56+72.21+53.1</f>
        <v>181.30999999999997</v>
      </c>
      <c r="L24" s="113">
        <v>206.96</v>
      </c>
      <c r="M24" s="27">
        <f>19.91+10.99</f>
        <v>30.9</v>
      </c>
      <c r="N24" s="27"/>
      <c r="O24" s="26"/>
      <c r="P24" s="27"/>
      <c r="Q24" s="27"/>
      <c r="R24" s="158">
        <f t="shared" si="0"/>
        <v>813.42</v>
      </c>
      <c r="S24" s="87"/>
      <c r="T24" s="160"/>
      <c r="U24" s="87"/>
      <c r="V24" s="87"/>
    </row>
    <row r="25" spans="1:22" s="12" customFormat="1" ht="12" x14ac:dyDescent="0.2">
      <c r="A25" s="10" t="s">
        <v>576</v>
      </c>
      <c r="B25" s="10" t="s">
        <v>21</v>
      </c>
      <c r="C25" s="11" t="s">
        <v>64</v>
      </c>
      <c r="D25" s="11" t="s">
        <v>663</v>
      </c>
      <c r="E25" s="55">
        <v>43130</v>
      </c>
      <c r="F25" s="55">
        <v>43130</v>
      </c>
      <c r="G25" s="13" t="s">
        <v>656</v>
      </c>
      <c r="H25" s="74"/>
      <c r="I25" s="102"/>
      <c r="J25" s="113"/>
      <c r="K25" s="119">
        <v>65.2</v>
      </c>
      <c r="L25" s="113"/>
      <c r="M25" s="27"/>
      <c r="N25" s="27"/>
      <c r="O25" s="26"/>
      <c r="P25" s="27"/>
      <c r="Q25" s="27"/>
      <c r="R25" s="158">
        <f t="shared" si="0"/>
        <v>65.2</v>
      </c>
      <c r="S25" s="87"/>
      <c r="T25" s="160"/>
      <c r="U25" s="87"/>
      <c r="V25" s="87"/>
    </row>
    <row r="26" spans="1:22" s="12" customFormat="1" ht="12" x14ac:dyDescent="0.2">
      <c r="A26" s="10" t="s">
        <v>576</v>
      </c>
      <c r="B26" s="10" t="s">
        <v>21</v>
      </c>
      <c r="C26" s="11" t="s">
        <v>302</v>
      </c>
      <c r="D26" s="8" t="s">
        <v>655</v>
      </c>
      <c r="E26" s="55">
        <v>43130</v>
      </c>
      <c r="F26" s="55">
        <v>43130</v>
      </c>
      <c r="G26" s="13" t="s">
        <v>18</v>
      </c>
      <c r="H26" s="27"/>
      <c r="I26" s="74"/>
      <c r="J26" s="113"/>
      <c r="K26" s="113">
        <f>36+25</f>
        <v>61</v>
      </c>
      <c r="L26" s="113"/>
      <c r="M26" s="28"/>
      <c r="N26" s="28"/>
      <c r="O26" s="26"/>
      <c r="P26" s="27"/>
      <c r="Q26" s="27"/>
      <c r="R26" s="158">
        <f t="shared" si="0"/>
        <v>61</v>
      </c>
      <c r="S26" s="87"/>
      <c r="T26" s="160"/>
      <c r="U26" s="87"/>
      <c r="V26" s="87"/>
    </row>
    <row r="27" spans="1:22" s="12" customFormat="1" ht="12" x14ac:dyDescent="0.2">
      <c r="A27" s="10" t="s">
        <v>576</v>
      </c>
      <c r="B27" s="10" t="s">
        <v>21</v>
      </c>
      <c r="C27" s="11" t="s">
        <v>302</v>
      </c>
      <c r="D27" s="8" t="s">
        <v>662</v>
      </c>
      <c r="E27" s="55">
        <v>43131</v>
      </c>
      <c r="F27" s="55">
        <v>43131</v>
      </c>
      <c r="G27" s="10" t="s">
        <v>529</v>
      </c>
      <c r="H27" s="27"/>
      <c r="I27" s="74"/>
      <c r="J27" s="113"/>
      <c r="K27" s="113">
        <v>44</v>
      </c>
      <c r="L27" s="113"/>
      <c r="M27" s="28"/>
      <c r="N27" s="28"/>
      <c r="O27" s="26"/>
      <c r="P27" s="27"/>
      <c r="Q27" s="27"/>
      <c r="R27" s="158">
        <v>44.4</v>
      </c>
      <c r="S27" s="87"/>
      <c r="T27" s="87"/>
      <c r="U27" s="87"/>
      <c r="V27" s="87"/>
    </row>
    <row r="28" spans="1:22" s="12" customFormat="1" ht="24" x14ac:dyDescent="0.2">
      <c r="A28" s="10" t="s">
        <v>576</v>
      </c>
      <c r="B28" s="10" t="s">
        <v>21</v>
      </c>
      <c r="C28" s="11" t="s">
        <v>302</v>
      </c>
      <c r="D28" s="8" t="s">
        <v>660</v>
      </c>
      <c r="E28" s="55">
        <v>43140</v>
      </c>
      <c r="F28" s="55">
        <v>43140</v>
      </c>
      <c r="G28" s="13" t="s">
        <v>646</v>
      </c>
      <c r="H28" s="27"/>
      <c r="I28" s="74"/>
      <c r="J28" s="113"/>
      <c r="K28" s="114">
        <v>32</v>
      </c>
      <c r="L28" s="113"/>
      <c r="M28" s="28"/>
      <c r="N28" s="28"/>
      <c r="O28" s="26"/>
      <c r="P28" s="27"/>
      <c r="Q28" s="27"/>
      <c r="R28" s="158">
        <f t="shared" ref="R28:R36" si="1">SUM(J28:Q28)</f>
        <v>32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0" t="s">
        <v>21</v>
      </c>
      <c r="C29" s="11" t="s">
        <v>302</v>
      </c>
      <c r="D29" s="11" t="s">
        <v>661</v>
      </c>
      <c r="E29" s="55">
        <v>43158</v>
      </c>
      <c r="F29" s="55">
        <v>43158</v>
      </c>
      <c r="G29" s="10" t="s">
        <v>18</v>
      </c>
      <c r="H29" s="27"/>
      <c r="I29" s="171"/>
      <c r="J29" s="113"/>
      <c r="K29" s="113">
        <v>8</v>
      </c>
      <c r="L29" s="113"/>
      <c r="M29" s="28"/>
      <c r="N29" s="28"/>
      <c r="O29" s="26"/>
      <c r="P29" s="27"/>
      <c r="Q29" s="27"/>
      <c r="R29" s="158">
        <f t="shared" si="1"/>
        <v>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302</v>
      </c>
      <c r="D30" s="8" t="s">
        <v>658</v>
      </c>
      <c r="E30" s="55">
        <v>43160</v>
      </c>
      <c r="F30" s="55">
        <v>43160</v>
      </c>
      <c r="G30" s="13" t="s">
        <v>18</v>
      </c>
      <c r="H30" s="27"/>
      <c r="I30" s="171"/>
      <c r="J30" s="113"/>
      <c r="K30" s="113">
        <v>27.43</v>
      </c>
      <c r="L30" s="113"/>
      <c r="M30" s="28"/>
      <c r="N30" s="28"/>
      <c r="O30" s="26"/>
      <c r="P30" s="27"/>
      <c r="Q30" s="27"/>
      <c r="R30" s="158">
        <f t="shared" si="1"/>
        <v>27.43</v>
      </c>
      <c r="S30" s="160"/>
      <c r="T30" s="87"/>
      <c r="U30" s="87"/>
      <c r="V30" s="87"/>
    </row>
    <row r="31" spans="1:22" s="12" customFormat="1" ht="12" x14ac:dyDescent="0.2">
      <c r="A31" s="10" t="s">
        <v>576</v>
      </c>
      <c r="B31" s="10" t="s">
        <v>21</v>
      </c>
      <c r="C31" s="11" t="s">
        <v>302</v>
      </c>
      <c r="D31" s="8" t="s">
        <v>659</v>
      </c>
      <c r="E31" s="55">
        <v>43165</v>
      </c>
      <c r="F31" s="55">
        <v>43165</v>
      </c>
      <c r="G31" s="13" t="s">
        <v>46</v>
      </c>
      <c r="H31" s="27"/>
      <c r="I31" s="74"/>
      <c r="J31" s="113"/>
      <c r="K31" s="113">
        <v>33.6</v>
      </c>
      <c r="L31" s="113"/>
      <c r="M31" s="28"/>
      <c r="N31" s="28"/>
      <c r="O31" s="26"/>
      <c r="P31" s="27"/>
      <c r="Q31" s="27"/>
      <c r="R31" s="158">
        <f t="shared" si="1"/>
        <v>33.6</v>
      </c>
      <c r="S31" s="87"/>
      <c r="T31" s="87"/>
      <c r="U31" s="87"/>
      <c r="V31" s="87"/>
    </row>
    <row r="32" spans="1:22" s="12" customFormat="1" ht="12" x14ac:dyDescent="0.2">
      <c r="A32" s="10" t="s">
        <v>576</v>
      </c>
      <c r="B32" s="10" t="s">
        <v>21</v>
      </c>
      <c r="C32" s="8" t="s">
        <v>476</v>
      </c>
      <c r="D32" s="11" t="s">
        <v>657</v>
      </c>
      <c r="E32" s="55">
        <v>43177</v>
      </c>
      <c r="F32" s="55">
        <v>43181</v>
      </c>
      <c r="G32" s="13" t="s">
        <v>18</v>
      </c>
      <c r="H32" s="27"/>
      <c r="I32" s="74"/>
      <c r="J32" s="113"/>
      <c r="K32" s="113"/>
      <c r="L32" s="113">
        <v>277.17</v>
      </c>
      <c r="M32" s="28">
        <f>12.85+21.25</f>
        <v>34.1</v>
      </c>
      <c r="N32" s="28"/>
      <c r="O32" s="26"/>
      <c r="P32" s="27"/>
      <c r="Q32" s="27"/>
      <c r="R32" s="158">
        <f t="shared" si="1"/>
        <v>311.27000000000004</v>
      </c>
      <c r="S32" s="166"/>
      <c r="T32" s="87"/>
      <c r="U32" s="87"/>
      <c r="V32" s="87"/>
    </row>
    <row r="33" spans="1:23" s="12" customFormat="1" ht="12" x14ac:dyDescent="0.2">
      <c r="A33" s="10" t="s">
        <v>576</v>
      </c>
      <c r="B33" s="10" t="s">
        <v>21</v>
      </c>
      <c r="C33" s="11" t="s">
        <v>64</v>
      </c>
      <c r="D33" s="8" t="s">
        <v>673</v>
      </c>
      <c r="E33" s="55">
        <v>43181</v>
      </c>
      <c r="F33" s="55">
        <v>43181</v>
      </c>
      <c r="G33" s="13" t="s">
        <v>646</v>
      </c>
      <c r="H33" s="27"/>
      <c r="I33" s="74"/>
      <c r="J33" s="113"/>
      <c r="K33" s="113"/>
      <c r="L33" s="113"/>
      <c r="M33" s="28">
        <f>11.99+7.63</f>
        <v>19.62</v>
      </c>
      <c r="N33" s="28"/>
      <c r="O33" s="26"/>
      <c r="P33" s="27"/>
      <c r="Q33" s="27"/>
      <c r="R33" s="158">
        <f t="shared" si="1"/>
        <v>19.62</v>
      </c>
      <c r="S33" s="87"/>
      <c r="T33" s="87"/>
      <c r="U33" s="87"/>
      <c r="V33" s="87"/>
    </row>
    <row r="34" spans="1:23" s="12" customFormat="1" ht="12" customHeight="1" x14ac:dyDescent="0.2">
      <c r="A34" s="10" t="s">
        <v>576</v>
      </c>
      <c r="B34" s="10" t="s">
        <v>21</v>
      </c>
      <c r="C34" s="11" t="s">
        <v>302</v>
      </c>
      <c r="D34" s="11" t="s">
        <v>665</v>
      </c>
      <c r="E34" s="55">
        <v>43185</v>
      </c>
      <c r="F34" s="55">
        <v>43185</v>
      </c>
      <c r="G34" s="10" t="s">
        <v>18</v>
      </c>
      <c r="H34" s="102"/>
      <c r="I34" s="102"/>
      <c r="J34" s="113"/>
      <c r="K34" s="113">
        <v>10</v>
      </c>
      <c r="L34" s="113"/>
      <c r="M34" s="27"/>
      <c r="N34" s="27"/>
      <c r="O34" s="26"/>
      <c r="P34" s="27"/>
      <c r="Q34" s="27"/>
      <c r="R34" s="158">
        <f t="shared" si="1"/>
        <v>10</v>
      </c>
      <c r="S34" s="159"/>
      <c r="T34" s="87"/>
      <c r="U34" s="87"/>
      <c r="V34" s="87"/>
    </row>
    <row r="35" spans="1:23" s="12" customFormat="1" ht="12" x14ac:dyDescent="0.2">
      <c r="A35" s="10" t="s">
        <v>209</v>
      </c>
      <c r="B35" s="151" t="s">
        <v>25</v>
      </c>
      <c r="C35" s="11" t="s">
        <v>55</v>
      </c>
      <c r="D35" s="11" t="s">
        <v>55</v>
      </c>
      <c r="E35" s="55">
        <v>43159</v>
      </c>
      <c r="F35" s="55">
        <v>43161</v>
      </c>
      <c r="G35" s="13" t="s">
        <v>18</v>
      </c>
      <c r="H35" s="165"/>
      <c r="I35" s="74"/>
      <c r="J35" s="113">
        <f>491.25+15+100+68</f>
        <v>674.25</v>
      </c>
      <c r="K35" s="113">
        <f>16.8+16.2+16.59</f>
        <v>49.59</v>
      </c>
      <c r="L35" s="113"/>
      <c r="M35" s="28"/>
      <c r="N35" s="28"/>
      <c r="O35" s="26"/>
      <c r="P35" s="27"/>
      <c r="Q35" s="27"/>
      <c r="R35" s="158">
        <f t="shared" si="1"/>
        <v>723.84</v>
      </c>
      <c r="S35" s="159"/>
      <c r="T35" s="160"/>
      <c r="U35" s="87"/>
      <c r="V35" s="87"/>
    </row>
    <row r="36" spans="1:23" s="12" customFormat="1" ht="12" x14ac:dyDescent="0.2">
      <c r="A36" s="10" t="s">
        <v>410</v>
      </c>
      <c r="B36" s="151" t="s">
        <v>402</v>
      </c>
      <c r="C36" s="8" t="s">
        <v>55</v>
      </c>
      <c r="D36" s="11" t="s">
        <v>55</v>
      </c>
      <c r="E36" s="55">
        <v>43159</v>
      </c>
      <c r="F36" s="55">
        <v>43160</v>
      </c>
      <c r="G36" s="13" t="s">
        <v>18</v>
      </c>
      <c r="H36" s="165"/>
      <c r="I36" s="74"/>
      <c r="J36" s="113"/>
      <c r="K36" s="113">
        <f>87.76+32</f>
        <v>119.76</v>
      </c>
      <c r="L36" s="113">
        <f>164.25+164.25</f>
        <v>328.5</v>
      </c>
      <c r="M36" s="28"/>
      <c r="N36" s="28"/>
      <c r="O36" s="26"/>
      <c r="P36" s="27"/>
      <c r="Q36" s="27"/>
      <c r="R36" s="158">
        <f t="shared" si="1"/>
        <v>448.26</v>
      </c>
      <c r="S36" s="172"/>
      <c r="T36" s="87"/>
      <c r="U36" s="87"/>
      <c r="V36" s="87"/>
    </row>
    <row r="37" spans="1:23" s="12" customFormat="1" ht="12" x14ac:dyDescent="0.2">
      <c r="A37" s="10"/>
      <c r="B37" s="10"/>
      <c r="C37" s="11"/>
      <c r="D37" s="11"/>
      <c r="E37" s="55"/>
      <c r="F37" s="55"/>
      <c r="G37" s="13"/>
      <c r="H37" s="74"/>
      <c r="I37" s="102"/>
      <c r="J37" s="113"/>
      <c r="K37" s="113"/>
      <c r="L37" s="113"/>
      <c r="M37" s="27"/>
      <c r="N37" s="27"/>
      <c r="O37" s="26"/>
      <c r="P37" s="27"/>
      <c r="Q37" s="27"/>
      <c r="R37" s="158">
        <f t="shared" ref="R37" si="2">SUM(J37:Q37)</f>
        <v>0</v>
      </c>
      <c r="S37" s="159"/>
      <c r="T37" s="160"/>
      <c r="U37" s="166"/>
      <c r="V37" s="87"/>
    </row>
    <row r="38" spans="1:23" x14ac:dyDescent="0.2">
      <c r="V38" s="111"/>
      <c r="W38" s="9"/>
    </row>
    <row r="39" spans="1:23" x14ac:dyDescent="0.2">
      <c r="U39" s="168"/>
      <c r="V39" s="111"/>
      <c r="W39" s="9"/>
    </row>
    <row r="40" spans="1:23" x14ac:dyDescent="0.2">
      <c r="U40" s="168"/>
      <c r="V40" s="111"/>
      <c r="W40" s="9"/>
    </row>
    <row r="41" spans="1:23" x14ac:dyDescent="0.2">
      <c r="U41" s="168"/>
      <c r="V41" s="111"/>
      <c r="W41" s="9"/>
    </row>
    <row r="42" spans="1:23" x14ac:dyDescent="0.2">
      <c r="U42" s="168"/>
      <c r="V42" s="111"/>
      <c r="W42" s="9"/>
    </row>
    <row r="43" spans="1:23" x14ac:dyDescent="0.2">
      <c r="U43" s="168"/>
      <c r="V43" s="111"/>
      <c r="W43" s="9"/>
    </row>
    <row r="44" spans="1:23" x14ac:dyDescent="0.2">
      <c r="U44" s="168"/>
      <c r="V44" s="111"/>
      <c r="W44" s="9"/>
    </row>
    <row r="45" spans="1:23" x14ac:dyDescent="0.2">
      <c r="U45" s="168"/>
      <c r="V45" s="111"/>
      <c r="W45" s="9"/>
    </row>
    <row r="46" spans="1:23" x14ac:dyDescent="0.2">
      <c r="V46" s="111"/>
      <c r="W46" s="9"/>
    </row>
    <row r="47" spans="1:23" x14ac:dyDescent="0.2">
      <c r="V47" s="111"/>
      <c r="W47" s="9"/>
    </row>
    <row r="48" spans="1:23" x14ac:dyDescent="0.2">
      <c r="V48" s="111"/>
      <c r="W48" s="9"/>
    </row>
    <row r="49" spans="22:23" x14ac:dyDescent="0.2">
      <c r="V49" s="111"/>
      <c r="W49" s="9"/>
    </row>
    <row r="50" spans="22:23" x14ac:dyDescent="0.2">
      <c r="V50" s="111"/>
      <c r="W50" s="9"/>
    </row>
    <row r="51" spans="22:23" x14ac:dyDescent="0.2">
      <c r="V51" s="111"/>
      <c r="W51" s="9"/>
    </row>
    <row r="52" spans="22:23" x14ac:dyDescent="0.2">
      <c r="V52" s="111"/>
      <c r="W52" s="9"/>
    </row>
    <row r="53" spans="22:23" x14ac:dyDescent="0.2">
      <c r="V53" s="111"/>
      <c r="W53" s="9"/>
    </row>
  </sheetData>
  <autoFilter ref="A1:X37" xr:uid="{00000000-0009-0000-0000-000019000000}"/>
  <sortState xmlns:xlrd2="http://schemas.microsoft.com/office/spreadsheetml/2017/richdata2"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36"/>
  <sheetViews>
    <sheetView zoomScale="85" zoomScaleNormal="85" workbookViewId="0">
      <selection activeCell="D29" sqref="D29"/>
    </sheetView>
  </sheetViews>
  <sheetFormatPr defaultRowHeight="14.25" x14ac:dyDescent="0.2"/>
  <cols>
    <col min="1" max="1" width="14.5" bestFit="1" customWidth="1"/>
    <col min="2" max="2" width="20.875" customWidth="1"/>
    <col min="3" max="3" width="38.5" customWidth="1"/>
    <col min="4" max="4" width="20.75" customWidth="1"/>
    <col min="7" max="7" width="11.625" customWidth="1"/>
    <col min="8" max="8" width="5.625" customWidth="1"/>
    <col min="18" max="18" width="11.25" bestFit="1" customWidth="1"/>
    <col min="19" max="19" width="12" customWidth="1"/>
  </cols>
  <sheetData>
    <row r="1" spans="1:21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1" s="12" customFormat="1" ht="24" x14ac:dyDescent="0.2">
      <c r="A2" s="10" t="s">
        <v>576</v>
      </c>
      <c r="B2" s="10" t="s">
        <v>21</v>
      </c>
      <c r="C2" s="11" t="s">
        <v>676</v>
      </c>
      <c r="D2" s="8" t="s">
        <v>677</v>
      </c>
      <c r="E2" s="55">
        <v>43175</v>
      </c>
      <c r="F2" s="55">
        <v>43175</v>
      </c>
      <c r="G2" s="13" t="s">
        <v>280</v>
      </c>
      <c r="H2" s="74"/>
      <c r="I2" s="102"/>
      <c r="J2" s="65"/>
      <c r="K2" s="174">
        <v>116.8</v>
      </c>
      <c r="L2" s="65"/>
      <c r="M2" s="65"/>
      <c r="N2" s="65"/>
      <c r="O2" s="175"/>
      <c r="P2" s="65"/>
      <c r="Q2" s="65"/>
      <c r="R2" s="175">
        <f>SUM(J2:Q2)</f>
        <v>116.8</v>
      </c>
      <c r="S2" s="161"/>
      <c r="U2" s="161"/>
    </row>
    <row r="3" spans="1:21" s="12" customFormat="1" ht="24" x14ac:dyDescent="0.2">
      <c r="A3" s="10" t="s">
        <v>576</v>
      </c>
      <c r="B3" s="10" t="s">
        <v>21</v>
      </c>
      <c r="C3" s="11" t="s">
        <v>679</v>
      </c>
      <c r="D3" s="8" t="s">
        <v>678</v>
      </c>
      <c r="E3" s="55">
        <v>43181</v>
      </c>
      <c r="F3" s="55">
        <v>43181</v>
      </c>
      <c r="G3" s="13" t="s">
        <v>680</v>
      </c>
      <c r="H3" s="74"/>
      <c r="I3" s="102"/>
      <c r="J3" s="65"/>
      <c r="K3" s="174">
        <v>68.400000000000006</v>
      </c>
      <c r="L3" s="65"/>
      <c r="M3" s="65"/>
      <c r="N3" s="65"/>
      <c r="O3" s="175"/>
      <c r="P3" s="65"/>
      <c r="Q3" s="65"/>
      <c r="R3" s="175">
        <f>SUM(J3:Q3)</f>
        <v>68.400000000000006</v>
      </c>
    </row>
    <row r="4" spans="1:21" s="12" customFormat="1" ht="24" x14ac:dyDescent="0.2">
      <c r="A4" s="10" t="s">
        <v>576</v>
      </c>
      <c r="B4" s="10" t="s">
        <v>21</v>
      </c>
      <c r="C4" s="11" t="s">
        <v>302</v>
      </c>
      <c r="D4" s="8" t="s">
        <v>681</v>
      </c>
      <c r="E4" s="55">
        <v>43182</v>
      </c>
      <c r="F4" s="55">
        <v>43182</v>
      </c>
      <c r="G4" s="13" t="s">
        <v>682</v>
      </c>
      <c r="H4" s="74"/>
      <c r="I4" s="102"/>
      <c r="J4" s="65"/>
      <c r="K4" s="174">
        <v>11.2</v>
      </c>
      <c r="L4" s="65"/>
      <c r="M4" s="65"/>
      <c r="N4" s="65"/>
      <c r="O4" s="175"/>
      <c r="P4" s="65"/>
      <c r="Q4" s="65"/>
      <c r="R4" s="175">
        <f t="shared" ref="R4:R11" si="0">SUM(J4:Q4)</f>
        <v>11.2</v>
      </c>
    </row>
    <row r="5" spans="1:21" s="12" customFormat="1" ht="24" x14ac:dyDescent="0.2">
      <c r="A5" s="10" t="s">
        <v>576</v>
      </c>
      <c r="B5" s="10" t="s">
        <v>21</v>
      </c>
      <c r="C5" s="11" t="s">
        <v>409</v>
      </c>
      <c r="D5" s="8" t="s">
        <v>692</v>
      </c>
      <c r="E5" s="55">
        <v>43230</v>
      </c>
      <c r="F5" s="55">
        <v>43232</v>
      </c>
      <c r="G5" s="13" t="s">
        <v>683</v>
      </c>
      <c r="H5" s="74"/>
      <c r="I5" s="102"/>
      <c r="J5" s="65">
        <v>344.25</v>
      </c>
      <c r="K5" s="174">
        <f>56+44.82+79.65</f>
        <v>180.47</v>
      </c>
      <c r="L5" s="65">
        <v>219.68</v>
      </c>
      <c r="M5" s="65">
        <f>48.67+28.76</f>
        <v>77.430000000000007</v>
      </c>
      <c r="N5" s="65"/>
      <c r="O5" s="175"/>
      <c r="P5" s="65"/>
      <c r="Q5" s="65"/>
      <c r="R5" s="175">
        <f t="shared" si="0"/>
        <v>821.83000000000015</v>
      </c>
    </row>
    <row r="6" spans="1:21" s="12" customFormat="1" ht="36" x14ac:dyDescent="0.2">
      <c r="A6" s="10" t="s">
        <v>576</v>
      </c>
      <c r="B6" s="10" t="s">
        <v>21</v>
      </c>
      <c r="C6" s="8" t="s">
        <v>312</v>
      </c>
      <c r="D6" s="8" t="s">
        <v>685</v>
      </c>
      <c r="E6" s="55">
        <v>43214</v>
      </c>
      <c r="F6" s="55">
        <v>43215</v>
      </c>
      <c r="G6" s="13" t="s">
        <v>277</v>
      </c>
      <c r="H6" s="74"/>
      <c r="I6" s="102"/>
      <c r="J6" s="65"/>
      <c r="K6" s="174">
        <v>37.6</v>
      </c>
      <c r="L6" s="65">
        <v>275</v>
      </c>
      <c r="M6" s="65"/>
      <c r="N6" s="65"/>
      <c r="O6" s="175"/>
      <c r="P6" s="65"/>
      <c r="Q6" s="65"/>
      <c r="R6" s="175">
        <f t="shared" si="0"/>
        <v>312.60000000000002</v>
      </c>
      <c r="S6" s="161"/>
    </row>
    <row r="7" spans="1:21" s="12" customFormat="1" ht="36" x14ac:dyDescent="0.2">
      <c r="A7" s="10" t="s">
        <v>576</v>
      </c>
      <c r="B7" s="10" t="s">
        <v>21</v>
      </c>
      <c r="C7" s="11" t="s">
        <v>409</v>
      </c>
      <c r="D7" s="8" t="s">
        <v>687</v>
      </c>
      <c r="E7" s="55">
        <v>43223</v>
      </c>
      <c r="F7" s="55">
        <v>43223</v>
      </c>
      <c r="G7" s="13" t="s">
        <v>686</v>
      </c>
      <c r="H7" s="74"/>
      <c r="I7" s="102"/>
      <c r="J7" s="65"/>
      <c r="K7" s="174">
        <v>83.2</v>
      </c>
      <c r="L7" s="65"/>
      <c r="M7" s="65"/>
      <c r="N7" s="65"/>
      <c r="O7" s="175"/>
      <c r="P7" s="65"/>
      <c r="Q7" s="65"/>
      <c r="R7" s="175">
        <f t="shared" si="0"/>
        <v>83.2</v>
      </c>
      <c r="S7" s="161"/>
    </row>
    <row r="8" spans="1:21" s="12" customFormat="1" ht="24" x14ac:dyDescent="0.2">
      <c r="A8" s="10" t="s">
        <v>576</v>
      </c>
      <c r="B8" s="10" t="s">
        <v>21</v>
      </c>
      <c r="C8" s="11" t="s">
        <v>409</v>
      </c>
      <c r="D8" s="8" t="s">
        <v>691</v>
      </c>
      <c r="E8" s="55">
        <v>43228</v>
      </c>
      <c r="F8" s="55">
        <v>43228</v>
      </c>
      <c r="G8" s="13" t="s">
        <v>128</v>
      </c>
      <c r="H8" s="74"/>
      <c r="I8" s="102"/>
      <c r="J8" s="65"/>
      <c r="K8" s="174">
        <v>66.400000000000006</v>
      </c>
      <c r="L8" s="65"/>
      <c r="M8" s="65">
        <v>8.85</v>
      </c>
      <c r="N8" s="65"/>
      <c r="O8" s="175"/>
      <c r="P8" s="65"/>
      <c r="Q8" s="65"/>
      <c r="R8" s="175">
        <f t="shared" si="0"/>
        <v>75.25</v>
      </c>
    </row>
    <row r="9" spans="1:21" s="12" customFormat="1" ht="36" x14ac:dyDescent="0.2">
      <c r="A9" s="10" t="s">
        <v>576</v>
      </c>
      <c r="B9" s="10" t="s">
        <v>21</v>
      </c>
      <c r="C9" s="11" t="s">
        <v>409</v>
      </c>
      <c r="D9" s="8" t="s">
        <v>690</v>
      </c>
      <c r="E9" s="55">
        <v>43229</v>
      </c>
      <c r="F9" s="55">
        <v>43229</v>
      </c>
      <c r="G9" s="13" t="s">
        <v>688</v>
      </c>
      <c r="H9" s="74"/>
      <c r="I9" s="102"/>
      <c r="J9" s="65"/>
      <c r="K9" s="174">
        <v>165.6</v>
      </c>
      <c r="L9" s="65"/>
      <c r="M9" s="65">
        <v>39.82</v>
      </c>
      <c r="N9" s="65"/>
      <c r="O9" s="175"/>
      <c r="P9" s="65"/>
      <c r="Q9" s="65"/>
      <c r="R9" s="175">
        <f t="shared" si="0"/>
        <v>205.42</v>
      </c>
      <c r="S9" s="150"/>
    </row>
    <row r="10" spans="1:21" s="12" customFormat="1" ht="12" x14ac:dyDescent="0.2">
      <c r="A10" s="10" t="s">
        <v>576</v>
      </c>
      <c r="B10" s="10" t="s">
        <v>21</v>
      </c>
      <c r="C10" s="8" t="s">
        <v>298</v>
      </c>
      <c r="D10" s="13" t="s">
        <v>398</v>
      </c>
      <c r="E10" s="55">
        <v>43235</v>
      </c>
      <c r="F10" s="55">
        <v>43236</v>
      </c>
      <c r="G10" s="13" t="s">
        <v>689</v>
      </c>
      <c r="H10" s="74"/>
      <c r="I10" s="102"/>
      <c r="J10" s="65"/>
      <c r="K10" s="174">
        <v>52.8</v>
      </c>
      <c r="L10" s="65"/>
      <c r="M10" s="65"/>
      <c r="N10" s="65"/>
      <c r="O10" s="175"/>
      <c r="P10" s="65"/>
      <c r="Q10" s="65"/>
      <c r="R10" s="175">
        <f t="shared" si="0"/>
        <v>52.8</v>
      </c>
      <c r="S10" s="161"/>
    </row>
    <row r="11" spans="1:21" s="12" customFormat="1" ht="24" x14ac:dyDescent="0.2">
      <c r="A11" s="10" t="s">
        <v>576</v>
      </c>
      <c r="B11" s="10" t="s">
        <v>21</v>
      </c>
      <c r="C11" s="11" t="s">
        <v>302</v>
      </c>
      <c r="D11" s="8" t="s">
        <v>693</v>
      </c>
      <c r="E11" s="55">
        <v>43238</v>
      </c>
      <c r="F11" s="55">
        <v>43238</v>
      </c>
      <c r="G11" s="13" t="s">
        <v>529</v>
      </c>
      <c r="H11" s="74"/>
      <c r="I11" s="102"/>
      <c r="J11" s="65"/>
      <c r="K11" s="174">
        <v>7.2</v>
      </c>
      <c r="L11" s="65"/>
      <c r="M11" s="65"/>
      <c r="N11" s="65"/>
      <c r="O11" s="175"/>
      <c r="P11" s="65"/>
      <c r="Q11" s="65"/>
      <c r="R11" s="175">
        <f t="shared" si="0"/>
        <v>7.2</v>
      </c>
      <c r="S11" s="161"/>
    </row>
    <row r="12" spans="1:21" s="12" customFormat="1" ht="24" x14ac:dyDescent="0.2">
      <c r="A12" s="10" t="s">
        <v>576</v>
      </c>
      <c r="B12" s="10" t="s">
        <v>21</v>
      </c>
      <c r="C12" s="11" t="s">
        <v>302</v>
      </c>
      <c r="D12" s="8" t="s">
        <v>581</v>
      </c>
      <c r="E12" s="55">
        <v>43246</v>
      </c>
      <c r="F12" s="55">
        <v>43246</v>
      </c>
      <c r="G12" s="13" t="s">
        <v>686</v>
      </c>
      <c r="H12" s="74"/>
      <c r="I12" s="102"/>
      <c r="J12" s="65"/>
      <c r="K12" s="174">
        <v>96</v>
      </c>
      <c r="L12" s="65"/>
      <c r="M12" s="65"/>
      <c r="N12" s="65"/>
      <c r="O12" s="175"/>
      <c r="P12" s="65"/>
      <c r="Q12" s="65"/>
      <c r="R12" s="175">
        <f t="shared" ref="R12:R19" si="1">SUM(J12:Q12)</f>
        <v>96</v>
      </c>
      <c r="S12" s="150"/>
    </row>
    <row r="13" spans="1:21" s="12" customFormat="1" ht="24" x14ac:dyDescent="0.2">
      <c r="A13" s="10" t="s">
        <v>576</v>
      </c>
      <c r="B13" s="10" t="s">
        <v>21</v>
      </c>
      <c r="C13" s="11" t="s">
        <v>302</v>
      </c>
      <c r="D13" s="8" t="s">
        <v>702</v>
      </c>
      <c r="E13" s="55">
        <v>43195</v>
      </c>
      <c r="F13" s="55">
        <v>43195</v>
      </c>
      <c r="G13" s="13" t="s">
        <v>18</v>
      </c>
      <c r="H13" s="74"/>
      <c r="I13" s="102"/>
      <c r="J13" s="65"/>
      <c r="K13" s="174">
        <v>26.55</v>
      </c>
      <c r="L13" s="65"/>
      <c r="M13" s="65"/>
      <c r="N13" s="65"/>
      <c r="O13" s="175"/>
      <c r="P13" s="65"/>
      <c r="Q13" s="65"/>
      <c r="R13" s="175">
        <f t="shared" ref="R13" si="2">SUM(J13:Q13)</f>
        <v>26.55</v>
      </c>
    </row>
    <row r="14" spans="1:21" s="12" customFormat="1" ht="24" x14ac:dyDescent="0.2">
      <c r="A14" s="10" t="s">
        <v>576</v>
      </c>
      <c r="B14" s="10" t="s">
        <v>21</v>
      </c>
      <c r="C14" s="11" t="s">
        <v>302</v>
      </c>
      <c r="D14" s="8" t="s">
        <v>701</v>
      </c>
      <c r="E14" s="55">
        <v>43196</v>
      </c>
      <c r="F14" s="55">
        <v>43196</v>
      </c>
      <c r="G14" s="13" t="s">
        <v>18</v>
      </c>
      <c r="H14" s="74"/>
      <c r="I14" s="102"/>
      <c r="J14" s="65"/>
      <c r="K14" s="174">
        <v>33.630000000000003</v>
      </c>
      <c r="L14" s="65"/>
      <c r="M14" s="65"/>
      <c r="N14" s="65"/>
      <c r="O14" s="175"/>
      <c r="P14" s="65"/>
      <c r="Q14" s="65"/>
      <c r="R14" s="175">
        <f t="shared" ref="R14" si="3">SUM(J14:Q14)</f>
        <v>33.630000000000003</v>
      </c>
      <c r="S14" s="150"/>
    </row>
    <row r="15" spans="1:21" s="12" customFormat="1" ht="24" x14ac:dyDescent="0.2">
      <c r="A15" s="10" t="s">
        <v>576</v>
      </c>
      <c r="B15" s="10" t="s">
        <v>21</v>
      </c>
      <c r="C15" s="8" t="s">
        <v>157</v>
      </c>
      <c r="D15" s="8" t="s">
        <v>708</v>
      </c>
      <c r="E15" s="55">
        <v>43207</v>
      </c>
      <c r="F15" s="55">
        <v>43212</v>
      </c>
      <c r="G15" s="13" t="s">
        <v>589</v>
      </c>
      <c r="H15" s="74"/>
      <c r="I15" s="102"/>
      <c r="J15" s="65">
        <f>51.12+476.79</f>
        <v>527.91</v>
      </c>
      <c r="K15" s="174">
        <f>83.59+154.87+56</f>
        <v>294.46000000000004</v>
      </c>
      <c r="L15" s="65">
        <v>290.01</v>
      </c>
      <c r="M15" s="65">
        <v>123.8</v>
      </c>
      <c r="N15" s="65"/>
      <c r="O15" s="175"/>
      <c r="P15" s="65"/>
      <c r="Q15" s="65"/>
      <c r="R15" s="175">
        <f>SUM(J15:Q15)</f>
        <v>1236.18</v>
      </c>
    </row>
    <row r="16" spans="1:21" s="12" customFormat="1" ht="24" customHeight="1" x14ac:dyDescent="0.2">
      <c r="A16" s="10" t="s">
        <v>576</v>
      </c>
      <c r="B16" s="10" t="s">
        <v>21</v>
      </c>
      <c r="C16" s="8" t="s">
        <v>298</v>
      </c>
      <c r="D16" s="13" t="s">
        <v>398</v>
      </c>
      <c r="E16" s="55">
        <v>43248</v>
      </c>
      <c r="F16" s="55">
        <v>43249</v>
      </c>
      <c r="G16" s="13" t="s">
        <v>18</v>
      </c>
      <c r="H16" s="74"/>
      <c r="I16" s="102"/>
      <c r="J16" s="65"/>
      <c r="K16" s="174">
        <v>14.16</v>
      </c>
      <c r="L16" s="65"/>
      <c r="M16" s="65"/>
      <c r="N16" s="65"/>
      <c r="O16" s="175"/>
      <c r="P16" s="65"/>
      <c r="Q16" s="65"/>
      <c r="R16" s="175">
        <f t="shared" ref="R16" si="4">SUM(J16:Q16)</f>
        <v>14.16</v>
      </c>
    </row>
    <row r="17" spans="1:21" s="12" customFormat="1" ht="24" x14ac:dyDescent="0.2">
      <c r="A17" s="10" t="s">
        <v>372</v>
      </c>
      <c r="B17" s="37" t="s">
        <v>538</v>
      </c>
      <c r="C17" s="11" t="s">
        <v>288</v>
      </c>
      <c r="D17" s="8" t="s">
        <v>694</v>
      </c>
      <c r="E17" s="55">
        <v>43193</v>
      </c>
      <c r="F17" s="55">
        <v>43196</v>
      </c>
      <c r="G17" s="13" t="s">
        <v>378</v>
      </c>
      <c r="H17" s="27"/>
      <c r="I17" s="74"/>
      <c r="J17" s="65">
        <v>416.63</v>
      </c>
      <c r="K17" s="65">
        <f>63.84+68.56</f>
        <v>132.4</v>
      </c>
      <c r="L17" s="65">
        <f>1317.85</f>
        <v>1317.85</v>
      </c>
      <c r="M17" s="65">
        <v>202.3</v>
      </c>
      <c r="N17" s="65"/>
      <c r="O17" s="175"/>
      <c r="P17" s="65"/>
      <c r="Q17" s="65"/>
      <c r="R17" s="175">
        <f t="shared" si="1"/>
        <v>2069.1799999999998</v>
      </c>
      <c r="S17" s="150"/>
    </row>
    <row r="18" spans="1:21" s="12" customFormat="1" ht="24" x14ac:dyDescent="0.2">
      <c r="A18" s="10" t="s">
        <v>372</v>
      </c>
      <c r="B18" s="37" t="s">
        <v>538</v>
      </c>
      <c r="C18" s="11" t="s">
        <v>302</v>
      </c>
      <c r="D18" s="8" t="s">
        <v>120</v>
      </c>
      <c r="E18" s="55">
        <v>43206</v>
      </c>
      <c r="F18" s="55">
        <v>43206</v>
      </c>
      <c r="G18" s="13" t="s">
        <v>18</v>
      </c>
      <c r="H18" s="27"/>
      <c r="I18" s="74"/>
      <c r="J18" s="65"/>
      <c r="K18" s="65">
        <v>18.16</v>
      </c>
      <c r="L18" s="65"/>
      <c r="M18" s="65"/>
      <c r="N18" s="65"/>
      <c r="O18" s="175"/>
      <c r="P18" s="65"/>
      <c r="Q18" s="65"/>
      <c r="R18" s="175">
        <f>SUM(J18:Q18)</f>
        <v>18.16</v>
      </c>
    </row>
    <row r="19" spans="1:21" s="12" customFormat="1" ht="24" x14ac:dyDescent="0.2">
      <c r="A19" s="7" t="s">
        <v>31</v>
      </c>
      <c r="B19" s="14" t="s">
        <v>597</v>
      </c>
      <c r="C19" s="11" t="s">
        <v>369</v>
      </c>
      <c r="D19" s="11" t="s">
        <v>695</v>
      </c>
      <c r="E19" s="55">
        <v>43131</v>
      </c>
      <c r="F19" s="55">
        <v>43132</v>
      </c>
      <c r="G19" s="13" t="s">
        <v>47</v>
      </c>
      <c r="H19" s="74"/>
      <c r="I19" s="102"/>
      <c r="J19" s="65"/>
      <c r="K19" s="174"/>
      <c r="L19" s="65"/>
      <c r="M19" s="65">
        <v>30.97</v>
      </c>
      <c r="N19" s="65"/>
      <c r="O19" s="175"/>
      <c r="P19" s="65"/>
      <c r="Q19" s="65"/>
      <c r="R19" s="175">
        <f t="shared" si="1"/>
        <v>30.97</v>
      </c>
      <c r="S19" s="161"/>
      <c r="U19" s="150"/>
    </row>
    <row r="20" spans="1:21" s="12" customFormat="1" ht="24" x14ac:dyDescent="0.2">
      <c r="A20" s="7" t="s">
        <v>31</v>
      </c>
      <c r="B20" s="14" t="s">
        <v>597</v>
      </c>
      <c r="C20" s="11" t="s">
        <v>302</v>
      </c>
      <c r="D20" s="11" t="s">
        <v>696</v>
      </c>
      <c r="E20" s="55">
        <v>43152</v>
      </c>
      <c r="F20" s="55">
        <v>43152</v>
      </c>
      <c r="G20" s="13" t="s">
        <v>47</v>
      </c>
      <c r="H20" s="74"/>
      <c r="I20" s="102"/>
      <c r="J20" s="65"/>
      <c r="K20" s="174"/>
      <c r="L20" s="65">
        <f>143.52</f>
        <v>143.52000000000001</v>
      </c>
      <c r="M20" s="65">
        <v>19.91</v>
      </c>
      <c r="N20" s="65"/>
      <c r="O20" s="175"/>
      <c r="P20" s="65"/>
      <c r="Q20" s="65"/>
      <c r="R20" s="175">
        <f t="shared" ref="R20:R22" si="5">SUM(J20:Q20)</f>
        <v>163.43</v>
      </c>
    </row>
    <row r="21" spans="1:21" s="12" customFormat="1" ht="24" x14ac:dyDescent="0.2">
      <c r="A21" s="7" t="s">
        <v>31</v>
      </c>
      <c r="B21" s="14" t="s">
        <v>597</v>
      </c>
      <c r="C21" s="11" t="s">
        <v>288</v>
      </c>
      <c r="D21" s="11" t="s">
        <v>697</v>
      </c>
      <c r="E21" s="55">
        <v>43181</v>
      </c>
      <c r="F21" s="55">
        <v>43182</v>
      </c>
      <c r="G21" s="13" t="s">
        <v>698</v>
      </c>
      <c r="H21" s="74"/>
      <c r="I21" s="102"/>
      <c r="J21" s="65"/>
      <c r="K21" s="174">
        <v>6.95</v>
      </c>
      <c r="L21" s="65"/>
      <c r="M21" s="65">
        <v>19.91</v>
      </c>
      <c r="N21" s="65"/>
      <c r="O21" s="175"/>
      <c r="P21" s="65"/>
      <c r="Q21" s="65"/>
      <c r="R21" s="175">
        <f t="shared" si="5"/>
        <v>26.86</v>
      </c>
    </row>
    <row r="22" spans="1:21" s="12" customFormat="1" ht="24" x14ac:dyDescent="0.2">
      <c r="A22" s="7" t="s">
        <v>31</v>
      </c>
      <c r="B22" s="14" t="s">
        <v>597</v>
      </c>
      <c r="C22" s="11" t="s">
        <v>302</v>
      </c>
      <c r="D22" s="11" t="s">
        <v>699</v>
      </c>
      <c r="E22" s="55">
        <v>43185</v>
      </c>
      <c r="F22" s="55">
        <v>43186</v>
      </c>
      <c r="G22" s="13" t="s">
        <v>18</v>
      </c>
      <c r="H22" s="74"/>
      <c r="I22" s="102"/>
      <c r="J22" s="65"/>
      <c r="K22" s="174">
        <f>14.16+10.07+14.16+11.19</f>
        <v>49.58</v>
      </c>
      <c r="L22" s="65"/>
      <c r="M22" s="65"/>
      <c r="N22" s="65"/>
      <c r="O22" s="175"/>
      <c r="P22" s="65"/>
      <c r="Q22" s="65"/>
      <c r="R22" s="175">
        <f t="shared" si="5"/>
        <v>49.58</v>
      </c>
    </row>
    <row r="23" spans="1:21" s="12" customFormat="1" ht="24" customHeight="1" x14ac:dyDescent="0.2">
      <c r="A23" s="7" t="s">
        <v>31</v>
      </c>
      <c r="B23" s="14" t="s">
        <v>597</v>
      </c>
      <c r="C23" s="11" t="s">
        <v>369</v>
      </c>
      <c r="D23" s="11" t="s">
        <v>706</v>
      </c>
      <c r="E23" s="55">
        <v>43243</v>
      </c>
      <c r="F23" s="55">
        <v>43243</v>
      </c>
      <c r="G23" s="13" t="s">
        <v>18</v>
      </c>
      <c r="H23" s="74"/>
      <c r="I23" s="102"/>
      <c r="J23" s="65"/>
      <c r="K23" s="174">
        <v>9</v>
      </c>
      <c r="L23" s="65"/>
      <c r="M23" s="65"/>
      <c r="N23" s="65"/>
      <c r="O23" s="175"/>
      <c r="P23" s="65"/>
      <c r="Q23" s="65"/>
      <c r="R23" s="175">
        <f t="shared" ref="R23" si="6">SUM(J23:Q23)</f>
        <v>9</v>
      </c>
    </row>
    <row r="24" spans="1:21" s="12" customFormat="1" ht="24" x14ac:dyDescent="0.2">
      <c r="A24" s="7" t="s">
        <v>389</v>
      </c>
      <c r="B24" s="8" t="s">
        <v>34</v>
      </c>
      <c r="C24" s="11" t="s">
        <v>288</v>
      </c>
      <c r="D24" s="8" t="s">
        <v>612</v>
      </c>
      <c r="E24" s="55">
        <v>43219</v>
      </c>
      <c r="F24" s="55">
        <v>43222</v>
      </c>
      <c r="G24" s="13" t="s">
        <v>700</v>
      </c>
      <c r="H24" s="74"/>
      <c r="I24" s="102"/>
      <c r="J24" s="65">
        <v>517.70000000000005</v>
      </c>
      <c r="K24" s="174"/>
      <c r="L24" s="65">
        <v>1248.3800000000001</v>
      </c>
      <c r="M24" s="65"/>
      <c r="N24" s="65"/>
      <c r="O24" s="175"/>
      <c r="P24" s="65"/>
      <c r="Q24" s="65"/>
      <c r="R24" s="175">
        <f t="shared" ref="R24:R26" si="7">SUM(J24:Q24)</f>
        <v>1766.0800000000002</v>
      </c>
      <c r="S24" s="161"/>
    </row>
    <row r="25" spans="1:21" s="12" customFormat="1" ht="24" customHeight="1" x14ac:dyDescent="0.2">
      <c r="A25" s="7" t="s">
        <v>389</v>
      </c>
      <c r="B25" s="8" t="s">
        <v>34</v>
      </c>
      <c r="C25" s="11" t="s">
        <v>288</v>
      </c>
      <c r="D25" s="8" t="s">
        <v>704</v>
      </c>
      <c r="E25" s="55">
        <v>43227</v>
      </c>
      <c r="F25" s="55">
        <v>43229</v>
      </c>
      <c r="G25" s="13" t="s">
        <v>589</v>
      </c>
      <c r="H25" s="74"/>
      <c r="I25" s="102"/>
      <c r="J25" s="65">
        <v>330.13</v>
      </c>
      <c r="K25" s="174">
        <v>300.62</v>
      </c>
      <c r="L25" s="65"/>
      <c r="M25" s="65"/>
      <c r="N25" s="65"/>
      <c r="O25" s="175"/>
      <c r="P25" s="65"/>
      <c r="Q25" s="65"/>
      <c r="R25" s="175">
        <f t="shared" ref="R25" si="8">SUM(J25:Q25)</f>
        <v>630.75</v>
      </c>
      <c r="S25" s="161"/>
    </row>
    <row r="26" spans="1:21" s="9" customFormat="1" ht="24" customHeight="1" x14ac:dyDescent="0.2">
      <c r="A26" s="7" t="s">
        <v>374</v>
      </c>
      <c r="B26" s="14" t="s">
        <v>403</v>
      </c>
      <c r="C26" s="8" t="s">
        <v>298</v>
      </c>
      <c r="D26" s="13" t="s">
        <v>398</v>
      </c>
      <c r="E26" s="55">
        <v>43236</v>
      </c>
      <c r="F26" s="55">
        <v>43236</v>
      </c>
      <c r="G26" s="13" t="s">
        <v>689</v>
      </c>
      <c r="H26" s="52"/>
      <c r="I26" s="74"/>
      <c r="J26" s="46"/>
      <c r="K26" s="65">
        <v>48</v>
      </c>
      <c r="L26" s="65"/>
      <c r="M26" s="65"/>
      <c r="N26" s="65"/>
      <c r="O26" s="175"/>
      <c r="P26" s="65"/>
      <c r="Q26" s="65"/>
      <c r="R26" s="175">
        <f t="shared" si="7"/>
        <v>48</v>
      </c>
      <c r="S26" s="176"/>
      <c r="U26" s="177"/>
    </row>
    <row r="27" spans="1:21" s="9" customFormat="1" ht="24" customHeight="1" x14ac:dyDescent="0.2">
      <c r="A27" s="7" t="s">
        <v>374</v>
      </c>
      <c r="B27" s="14" t="s">
        <v>403</v>
      </c>
      <c r="C27" s="11" t="s">
        <v>302</v>
      </c>
      <c r="D27" s="13" t="s">
        <v>703</v>
      </c>
      <c r="E27" s="55">
        <v>43202</v>
      </c>
      <c r="F27" s="55">
        <v>43202</v>
      </c>
      <c r="G27" s="13" t="s">
        <v>18</v>
      </c>
      <c r="H27" s="52"/>
      <c r="I27" s="74"/>
      <c r="J27" s="46"/>
      <c r="K27" s="65">
        <v>20.57</v>
      </c>
      <c r="L27" s="65"/>
      <c r="M27" s="65"/>
      <c r="N27" s="65"/>
      <c r="O27" s="175"/>
      <c r="P27" s="65"/>
      <c r="Q27" s="65"/>
      <c r="R27" s="175">
        <f t="shared" ref="R27" si="9">SUM(J27:Q27)</f>
        <v>20.57</v>
      </c>
    </row>
    <row r="28" spans="1:21" s="9" customFormat="1" ht="24" customHeight="1" x14ac:dyDescent="0.2">
      <c r="A28" s="7" t="s">
        <v>374</v>
      </c>
      <c r="B28" s="14" t="s">
        <v>403</v>
      </c>
      <c r="C28" s="11" t="s">
        <v>369</v>
      </c>
      <c r="D28" s="13" t="s">
        <v>707</v>
      </c>
      <c r="E28" s="55">
        <v>43243</v>
      </c>
      <c r="F28" s="55">
        <v>43243</v>
      </c>
      <c r="G28" s="13" t="s">
        <v>18</v>
      </c>
      <c r="H28" s="52"/>
      <c r="I28" s="74"/>
      <c r="J28" s="46"/>
      <c r="K28" s="65">
        <v>15.8</v>
      </c>
      <c r="L28" s="65"/>
      <c r="M28" s="65"/>
      <c r="N28" s="65"/>
      <c r="O28" s="175"/>
      <c r="P28" s="65"/>
      <c r="Q28" s="65"/>
      <c r="R28" s="175">
        <f t="shared" ref="R28" si="10">SUM(J28:Q28)</f>
        <v>15.8</v>
      </c>
    </row>
    <row r="29" spans="1:21" s="12" customFormat="1" ht="24" x14ac:dyDescent="0.2">
      <c r="A29" s="10" t="s">
        <v>209</v>
      </c>
      <c r="B29" s="10" t="s">
        <v>25</v>
      </c>
      <c r="C29" s="11" t="s">
        <v>55</v>
      </c>
      <c r="D29" s="11" t="s">
        <v>55</v>
      </c>
      <c r="E29" s="55">
        <v>43264</v>
      </c>
      <c r="F29" s="55">
        <v>43265</v>
      </c>
      <c r="G29" s="13" t="s">
        <v>18</v>
      </c>
      <c r="H29" s="165"/>
      <c r="I29" s="74"/>
      <c r="J29" s="113">
        <v>867.25</v>
      </c>
      <c r="K29" s="113">
        <f>134.76+33.19+16.8</f>
        <v>184.75</v>
      </c>
      <c r="L29" s="113">
        <v>192.4</v>
      </c>
      <c r="M29" s="28"/>
      <c r="N29" s="28"/>
      <c r="O29" s="26"/>
      <c r="P29" s="27"/>
      <c r="Q29" s="27"/>
      <c r="R29" s="26">
        <f t="shared" ref="R29:R33" si="11">SUM(J29:Q29)</f>
        <v>1244.4000000000001</v>
      </c>
      <c r="S29" s="161"/>
    </row>
    <row r="30" spans="1:21" s="12" customFormat="1" ht="24" x14ac:dyDescent="0.2">
      <c r="A30" s="10" t="s">
        <v>705</v>
      </c>
      <c r="B30" s="10" t="s">
        <v>25</v>
      </c>
      <c r="C30" s="11" t="s">
        <v>55</v>
      </c>
      <c r="D30" s="11" t="s">
        <v>55</v>
      </c>
      <c r="E30" s="55">
        <v>43264</v>
      </c>
      <c r="F30" s="55">
        <v>43265</v>
      </c>
      <c r="G30" s="13" t="s">
        <v>18</v>
      </c>
      <c r="H30" s="165"/>
      <c r="I30" s="74"/>
      <c r="J30" s="113"/>
      <c r="K30" s="113">
        <v>14.4</v>
      </c>
      <c r="L30" s="113"/>
      <c r="M30" s="28"/>
      <c r="N30" s="28"/>
      <c r="O30" s="26"/>
      <c r="P30" s="27"/>
      <c r="Q30" s="27"/>
      <c r="R30" s="26">
        <f t="shared" si="11"/>
        <v>14.4</v>
      </c>
    </row>
    <row r="31" spans="1:21" s="12" customFormat="1" ht="24" x14ac:dyDescent="0.2">
      <c r="A31" s="10" t="s">
        <v>432</v>
      </c>
      <c r="B31" s="10" t="s">
        <v>25</v>
      </c>
      <c r="C31" s="11" t="s">
        <v>55</v>
      </c>
      <c r="D31" s="11" t="s">
        <v>55</v>
      </c>
      <c r="E31" s="55">
        <v>43263</v>
      </c>
      <c r="F31" s="55">
        <v>43265</v>
      </c>
      <c r="G31" s="13" t="s">
        <v>18</v>
      </c>
      <c r="H31" s="165"/>
      <c r="I31" s="74"/>
      <c r="J31" s="113">
        <v>356.24</v>
      </c>
      <c r="K31" s="113"/>
      <c r="L31" s="113">
        <v>213.2</v>
      </c>
      <c r="M31" s="28"/>
      <c r="N31" s="28"/>
      <c r="O31" s="26"/>
      <c r="P31" s="27"/>
      <c r="Q31" s="27"/>
      <c r="R31" s="26">
        <f t="shared" si="11"/>
        <v>569.44000000000005</v>
      </c>
    </row>
    <row r="32" spans="1:21" s="12" customFormat="1" ht="24" x14ac:dyDescent="0.2">
      <c r="A32" s="10" t="s">
        <v>431</v>
      </c>
      <c r="B32" s="10" t="s">
        <v>25</v>
      </c>
      <c r="C32" s="11" t="s">
        <v>55</v>
      </c>
      <c r="D32" s="11" t="s">
        <v>55</v>
      </c>
      <c r="E32" s="55">
        <v>43264</v>
      </c>
      <c r="F32" s="55">
        <v>43265</v>
      </c>
      <c r="G32" s="13" t="s">
        <v>18</v>
      </c>
      <c r="H32" s="165"/>
      <c r="I32" s="74"/>
      <c r="J32" s="113">
        <v>268.12</v>
      </c>
      <c r="K32" s="113">
        <f>86.1+79.94</f>
        <v>166.04</v>
      </c>
      <c r="L32" s="113">
        <v>192.4</v>
      </c>
      <c r="M32" s="28">
        <v>39.82</v>
      </c>
      <c r="N32" s="28"/>
      <c r="O32" s="26"/>
      <c r="P32" s="27"/>
      <c r="Q32" s="27"/>
      <c r="R32" s="26">
        <f t="shared" si="11"/>
        <v>666.38</v>
      </c>
    </row>
    <row r="33" spans="1:19" ht="24" x14ac:dyDescent="0.2">
      <c r="A33" s="10" t="s">
        <v>126</v>
      </c>
      <c r="B33" s="10" t="s">
        <v>25</v>
      </c>
      <c r="C33" s="11" t="s">
        <v>55</v>
      </c>
      <c r="D33" s="11" t="s">
        <v>55</v>
      </c>
      <c r="E33" s="55">
        <v>43264</v>
      </c>
      <c r="F33" s="55">
        <v>43265</v>
      </c>
      <c r="G33" s="13" t="s">
        <v>18</v>
      </c>
      <c r="H33" s="165"/>
      <c r="I33" s="74"/>
      <c r="J33" s="113">
        <v>718.24</v>
      </c>
      <c r="K33" s="113"/>
      <c r="L33" s="113">
        <v>192.4</v>
      </c>
      <c r="M33" s="28"/>
      <c r="N33" s="28"/>
      <c r="O33" s="26"/>
      <c r="P33" s="27"/>
      <c r="Q33" s="27"/>
      <c r="R33" s="26">
        <f t="shared" si="11"/>
        <v>910.64</v>
      </c>
    </row>
    <row r="34" spans="1:19" s="12" customFormat="1" ht="24" x14ac:dyDescent="0.2">
      <c r="A34" s="10" t="s">
        <v>705</v>
      </c>
      <c r="B34" s="10" t="s">
        <v>25</v>
      </c>
      <c r="C34" s="11" t="s">
        <v>55</v>
      </c>
      <c r="D34" s="11" t="s">
        <v>55</v>
      </c>
      <c r="E34" s="55">
        <v>43160</v>
      </c>
      <c r="F34" s="55">
        <v>43160</v>
      </c>
      <c r="G34" s="13" t="s">
        <v>18</v>
      </c>
      <c r="H34" s="165"/>
      <c r="I34" s="74"/>
      <c r="J34" s="113"/>
      <c r="K34" s="113">
        <v>70.8</v>
      </c>
      <c r="L34" s="113"/>
      <c r="M34" s="28"/>
      <c r="N34" s="28"/>
      <c r="O34" s="26"/>
      <c r="P34" s="27"/>
      <c r="Q34" s="27"/>
      <c r="R34" s="26">
        <f t="shared" ref="R34" si="12">SUM(J34:Q34)</f>
        <v>70.8</v>
      </c>
    </row>
    <row r="36" spans="1:19" x14ac:dyDescent="0.2">
      <c r="R36" s="178"/>
      <c r="S36" s="178"/>
    </row>
  </sheetData>
  <autoFilter ref="A1:R34" xr:uid="{00000000-0009-0000-0000-00001A000000}"/>
  <pageMargins left="0.25" right="0.25" top="0.75" bottom="0.75" header="0.3" footer="0.3"/>
  <pageSetup scale="55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A80C-1E1B-4B08-A41D-3F1AF0C28861}">
  <dimension ref="A1:R11"/>
  <sheetViews>
    <sheetView workbookViewId="0">
      <selection activeCell="C6" sqref="C6"/>
    </sheetView>
  </sheetViews>
  <sheetFormatPr defaultRowHeight="14.25" x14ac:dyDescent="0.2"/>
  <cols>
    <col min="1" max="1" width="14.5" bestFit="1" customWidth="1"/>
    <col min="2" max="2" width="16.125" bestFit="1" customWidth="1"/>
    <col min="3" max="3" width="16.5" customWidth="1"/>
    <col min="4" max="4" width="18.875" customWidth="1"/>
    <col min="7" max="7" width="12" bestFit="1" customWidth="1"/>
  </cols>
  <sheetData>
    <row r="1" spans="1:18" s="189" customFormat="1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195" t="s">
        <v>5</v>
      </c>
      <c r="F1" s="195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s="189" customFormat="1" ht="33.75" customHeight="1" x14ac:dyDescent="0.2">
      <c r="A2" s="179" t="s">
        <v>576</v>
      </c>
      <c r="B2" s="179" t="s">
        <v>21</v>
      </c>
      <c r="C2" s="180" t="s">
        <v>409</v>
      </c>
      <c r="D2" s="181" t="s">
        <v>692</v>
      </c>
      <c r="E2" s="182">
        <v>43230</v>
      </c>
      <c r="F2" s="182">
        <v>43232</v>
      </c>
      <c r="G2" s="183" t="s">
        <v>683</v>
      </c>
      <c r="H2" s="184"/>
      <c r="I2" s="185"/>
      <c r="J2" s="186">
        <v>50</v>
      </c>
      <c r="K2" s="187"/>
      <c r="L2" s="186"/>
      <c r="M2" s="186"/>
      <c r="N2" s="186"/>
      <c r="O2" s="188"/>
      <c r="P2" s="186"/>
      <c r="Q2" s="186"/>
      <c r="R2" s="188">
        <f t="shared" ref="R2:R6" si="0">SUM(J2:Q2)</f>
        <v>50</v>
      </c>
    </row>
    <row r="3" spans="1:18" s="189" customFormat="1" ht="44.25" customHeight="1" x14ac:dyDescent="0.2">
      <c r="A3" s="179" t="s">
        <v>576</v>
      </c>
      <c r="B3" s="179" t="s">
        <v>21</v>
      </c>
      <c r="C3" s="180" t="s">
        <v>369</v>
      </c>
      <c r="D3" s="181" t="s">
        <v>709</v>
      </c>
      <c r="E3" s="182">
        <v>43266</v>
      </c>
      <c r="F3" s="182">
        <v>43266</v>
      </c>
      <c r="G3" s="190" t="s">
        <v>22</v>
      </c>
      <c r="H3" s="190"/>
      <c r="I3" s="190"/>
      <c r="J3" s="190"/>
      <c r="K3" s="191">
        <v>49.6</v>
      </c>
      <c r="L3" s="190"/>
      <c r="M3" s="190"/>
      <c r="N3" s="190"/>
      <c r="O3" s="188"/>
      <c r="P3" s="190"/>
      <c r="Q3" s="190"/>
      <c r="R3" s="188">
        <f t="shared" si="0"/>
        <v>49.6</v>
      </c>
    </row>
    <row r="4" spans="1:18" s="189" customFormat="1" ht="37.5" customHeight="1" x14ac:dyDescent="0.2">
      <c r="A4" s="179" t="s">
        <v>576</v>
      </c>
      <c r="B4" s="179" t="s">
        <v>21</v>
      </c>
      <c r="C4" s="180" t="s">
        <v>302</v>
      </c>
      <c r="D4" s="181" t="s">
        <v>710</v>
      </c>
      <c r="E4" s="182">
        <v>43256</v>
      </c>
      <c r="F4" s="182">
        <v>43256</v>
      </c>
      <c r="G4" s="190" t="s">
        <v>18</v>
      </c>
      <c r="H4" s="190"/>
      <c r="I4" s="190"/>
      <c r="J4" s="190"/>
      <c r="K4" s="191">
        <v>17.7</v>
      </c>
      <c r="L4" s="190"/>
      <c r="M4" s="190"/>
      <c r="N4" s="190"/>
      <c r="O4" s="188"/>
      <c r="P4" s="190"/>
      <c r="Q4" s="190"/>
      <c r="R4" s="188">
        <f t="shared" si="0"/>
        <v>17.7</v>
      </c>
    </row>
    <row r="5" spans="1:18" s="189" customFormat="1" ht="39" customHeight="1" x14ac:dyDescent="0.2">
      <c r="A5" s="179" t="s">
        <v>576</v>
      </c>
      <c r="B5" s="179" t="s">
        <v>21</v>
      </c>
      <c r="C5" s="181" t="s">
        <v>312</v>
      </c>
      <c r="D5" s="181" t="s">
        <v>711</v>
      </c>
      <c r="E5" s="182">
        <v>43257</v>
      </c>
      <c r="F5" s="182">
        <v>43257</v>
      </c>
      <c r="G5" s="190" t="s">
        <v>18</v>
      </c>
      <c r="H5" s="190"/>
      <c r="I5" s="190"/>
      <c r="J5" s="190"/>
      <c r="K5" s="191">
        <f>13.27+13.27</f>
        <v>26.54</v>
      </c>
      <c r="L5" s="190"/>
      <c r="M5" s="190">
        <v>11.78</v>
      </c>
      <c r="N5" s="190"/>
      <c r="O5" s="188"/>
      <c r="P5" s="190"/>
      <c r="Q5" s="190"/>
      <c r="R5" s="188">
        <f t="shared" si="0"/>
        <v>38.32</v>
      </c>
    </row>
    <row r="6" spans="1:18" s="189" customFormat="1" ht="36" customHeight="1" x14ac:dyDescent="0.2">
      <c r="A6" s="179" t="s">
        <v>576</v>
      </c>
      <c r="B6" s="179" t="s">
        <v>21</v>
      </c>
      <c r="C6" s="181" t="s">
        <v>157</v>
      </c>
      <c r="D6" s="181" t="s">
        <v>708</v>
      </c>
      <c r="E6" s="182">
        <v>43207</v>
      </c>
      <c r="F6" s="182">
        <v>43212</v>
      </c>
      <c r="G6" s="183" t="s">
        <v>589</v>
      </c>
      <c r="H6" s="190"/>
      <c r="I6" s="190"/>
      <c r="J6" s="190"/>
      <c r="K6" s="192">
        <v>58.72</v>
      </c>
      <c r="L6" s="190"/>
      <c r="M6" s="190"/>
      <c r="N6" s="190"/>
      <c r="O6" s="188"/>
      <c r="P6" s="190"/>
      <c r="Q6" s="190"/>
      <c r="R6" s="188">
        <f t="shared" si="0"/>
        <v>58.72</v>
      </c>
    </row>
    <row r="7" spans="1:18" s="189" customFormat="1" ht="12.75" x14ac:dyDescent="0.2"/>
    <row r="8" spans="1:18" s="189" customFormat="1" ht="12.75" x14ac:dyDescent="0.2"/>
    <row r="9" spans="1:18" s="189" customFormat="1" ht="12.75" x14ac:dyDescent="0.2"/>
    <row r="10" spans="1:18" s="189" customFormat="1" ht="12.75" x14ac:dyDescent="0.2"/>
    <row r="11" spans="1:18" s="189" customFormat="1" ht="12.75" x14ac:dyDescent="0.2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AA4F-2289-42C8-A159-3F6D981FFC27}">
  <sheetPr>
    <pageSetUpPr fitToPage="1"/>
  </sheetPr>
  <dimension ref="A1:S9"/>
  <sheetViews>
    <sheetView workbookViewId="0">
      <selection activeCell="C8" sqref="C8:D8"/>
    </sheetView>
  </sheetViews>
  <sheetFormatPr defaultRowHeight="14.25" x14ac:dyDescent="0.2"/>
  <cols>
    <col min="1" max="1" width="13.25" bestFit="1" customWidth="1"/>
    <col min="3" max="3" width="19.375" bestFit="1" customWidth="1"/>
    <col min="4" max="4" width="19.125" bestFit="1" customWidth="1"/>
    <col min="7" max="7" width="8.375" bestFit="1" customWidth="1"/>
  </cols>
  <sheetData>
    <row r="1" spans="1:19" s="189" customFormat="1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195" t="s">
        <v>5</v>
      </c>
      <c r="F1" s="195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9" ht="24" x14ac:dyDescent="0.2">
      <c r="A2" s="10" t="s">
        <v>126</v>
      </c>
      <c r="B2" s="10" t="s">
        <v>25</v>
      </c>
      <c r="C2" s="11" t="s">
        <v>55</v>
      </c>
      <c r="D2" s="11" t="s">
        <v>55</v>
      </c>
      <c r="E2" s="55">
        <v>43159</v>
      </c>
      <c r="F2" s="55">
        <v>43160</v>
      </c>
      <c r="G2" s="13" t="s">
        <v>18</v>
      </c>
      <c r="H2" s="165"/>
      <c r="I2" s="74"/>
      <c r="J2" s="113">
        <v>627.24</v>
      </c>
      <c r="K2" s="113">
        <v>36.72</v>
      </c>
      <c r="L2" s="113"/>
      <c r="M2" s="28">
        <v>28.76</v>
      </c>
      <c r="N2" s="28"/>
      <c r="O2" s="26"/>
      <c r="P2" s="27"/>
      <c r="Q2" s="27"/>
      <c r="R2" s="26">
        <f t="shared" ref="R2:R3" si="0">SUM(J2:Q2)</f>
        <v>692.72</v>
      </c>
    </row>
    <row r="3" spans="1:19" ht="24" x14ac:dyDescent="0.2">
      <c r="A3" s="10" t="s">
        <v>126</v>
      </c>
      <c r="B3" s="10" t="s">
        <v>25</v>
      </c>
      <c r="C3" s="11" t="s">
        <v>55</v>
      </c>
      <c r="D3" s="11" t="s">
        <v>55</v>
      </c>
      <c r="E3" s="55">
        <v>43264</v>
      </c>
      <c r="F3" s="55">
        <v>43265</v>
      </c>
      <c r="G3" s="13" t="s">
        <v>18</v>
      </c>
      <c r="H3" s="165"/>
      <c r="I3" s="74"/>
      <c r="J3" s="113"/>
      <c r="K3" s="113">
        <v>92.04</v>
      </c>
      <c r="L3" s="113"/>
      <c r="M3" s="28">
        <v>19.91</v>
      </c>
      <c r="N3" s="28"/>
      <c r="O3" s="26"/>
      <c r="P3" s="27"/>
      <c r="Q3" s="27"/>
      <c r="R3" s="26">
        <f t="shared" si="0"/>
        <v>111.95</v>
      </c>
    </row>
    <row r="4" spans="1:19" s="12" customFormat="1" ht="24" customHeight="1" x14ac:dyDescent="0.2">
      <c r="A4" s="7" t="s">
        <v>389</v>
      </c>
      <c r="B4" s="8" t="s">
        <v>34</v>
      </c>
      <c r="C4" s="11" t="s">
        <v>288</v>
      </c>
      <c r="D4" s="8" t="s">
        <v>704</v>
      </c>
      <c r="E4" s="55">
        <v>43227</v>
      </c>
      <c r="F4" s="55">
        <v>43229</v>
      </c>
      <c r="G4" s="13" t="s">
        <v>589</v>
      </c>
      <c r="H4" s="74"/>
      <c r="I4" s="102"/>
      <c r="J4" s="65"/>
      <c r="K4" s="174">
        <f>22.43+22.04+34.6</f>
        <v>79.069999999999993</v>
      </c>
      <c r="L4" s="65"/>
      <c r="M4" s="65">
        <v>48.15</v>
      </c>
      <c r="N4" s="65"/>
      <c r="O4" s="175"/>
      <c r="P4" s="65"/>
      <c r="Q4" s="65"/>
      <c r="R4" s="175">
        <f t="shared" ref="R4" si="1">SUM(J4:Q4)</f>
        <v>127.22</v>
      </c>
      <c r="S4" s="161"/>
    </row>
    <row r="5" spans="1:19" s="12" customFormat="1" ht="24" customHeight="1" x14ac:dyDescent="0.2">
      <c r="A5" s="7" t="s">
        <v>389</v>
      </c>
      <c r="B5" s="8" t="s">
        <v>34</v>
      </c>
      <c r="C5" s="11" t="s">
        <v>312</v>
      </c>
      <c r="D5" s="8" t="s">
        <v>712</v>
      </c>
      <c r="E5" s="55">
        <v>43248</v>
      </c>
      <c r="F5" s="55">
        <v>43248</v>
      </c>
      <c r="G5" s="13" t="s">
        <v>18</v>
      </c>
      <c r="H5" s="74"/>
      <c r="I5" s="102"/>
      <c r="J5" s="65"/>
      <c r="K5" s="174">
        <v>29.29</v>
      </c>
      <c r="L5" s="65"/>
      <c r="M5" s="65"/>
      <c r="N5" s="65"/>
      <c r="O5" s="175"/>
      <c r="P5" s="65"/>
      <c r="Q5" s="65"/>
      <c r="R5" s="175">
        <f t="shared" ref="R5:R6" si="2">SUM(J5:Q5)</f>
        <v>29.29</v>
      </c>
      <c r="S5" s="161"/>
    </row>
    <row r="6" spans="1:19" s="12" customFormat="1" ht="48" x14ac:dyDescent="0.2">
      <c r="A6" s="7" t="s">
        <v>389</v>
      </c>
      <c r="B6" s="8" t="s">
        <v>34</v>
      </c>
      <c r="C6" s="11" t="s">
        <v>288</v>
      </c>
      <c r="D6" s="8" t="s">
        <v>612</v>
      </c>
      <c r="E6" s="55">
        <v>43219</v>
      </c>
      <c r="F6" s="55">
        <v>43222</v>
      </c>
      <c r="G6" s="13" t="s">
        <v>700</v>
      </c>
      <c r="H6" s="74"/>
      <c r="I6" s="102"/>
      <c r="J6" s="65">
        <v>50.04</v>
      </c>
      <c r="K6" s="174">
        <f>137.21</f>
        <v>137.21</v>
      </c>
      <c r="L6" s="65"/>
      <c r="M6" s="65">
        <v>96.3</v>
      </c>
      <c r="N6" s="65"/>
      <c r="O6" s="175"/>
      <c r="P6" s="65"/>
      <c r="Q6" s="65"/>
      <c r="R6" s="175">
        <f t="shared" si="2"/>
        <v>283.55</v>
      </c>
      <c r="S6" s="161"/>
    </row>
    <row r="7" spans="1:19" s="12" customFormat="1" ht="48" x14ac:dyDescent="0.2">
      <c r="A7" s="7" t="s">
        <v>389</v>
      </c>
      <c r="B7" s="8" t="s">
        <v>34</v>
      </c>
      <c r="C7" s="11" t="s">
        <v>64</v>
      </c>
      <c r="D7" s="8" t="s">
        <v>713</v>
      </c>
      <c r="E7" s="55">
        <v>43224</v>
      </c>
      <c r="F7" s="55">
        <v>43225</v>
      </c>
      <c r="G7" s="13" t="s">
        <v>118</v>
      </c>
      <c r="H7" s="74"/>
      <c r="I7" s="102"/>
      <c r="J7" s="65"/>
      <c r="K7" s="174">
        <v>14.16</v>
      </c>
      <c r="L7" s="65"/>
      <c r="M7" s="65">
        <v>19.91</v>
      </c>
      <c r="N7" s="65"/>
      <c r="O7" s="175"/>
      <c r="P7" s="65"/>
      <c r="Q7" s="65"/>
      <c r="R7" s="175">
        <f t="shared" ref="R7" si="3">SUM(J7:Q7)</f>
        <v>34.07</v>
      </c>
      <c r="S7" s="161"/>
    </row>
    <row r="8" spans="1:19" s="12" customFormat="1" ht="48" x14ac:dyDescent="0.2">
      <c r="A8" s="7" t="s">
        <v>389</v>
      </c>
      <c r="B8" s="8" t="s">
        <v>34</v>
      </c>
      <c r="C8" s="11" t="s">
        <v>64</v>
      </c>
      <c r="D8" s="8" t="s">
        <v>714</v>
      </c>
      <c r="E8" s="55">
        <v>43230</v>
      </c>
      <c r="F8" s="55">
        <v>43230</v>
      </c>
      <c r="G8" s="13" t="s">
        <v>22</v>
      </c>
      <c r="H8" s="74"/>
      <c r="I8" s="102"/>
      <c r="J8" s="65"/>
      <c r="K8" s="174">
        <v>19.260000000000002</v>
      </c>
      <c r="L8" s="65"/>
      <c r="M8" s="65"/>
      <c r="N8" s="65"/>
      <c r="O8" s="175"/>
      <c r="P8" s="65"/>
      <c r="Q8" s="65"/>
      <c r="R8" s="175">
        <f t="shared" ref="R8" si="4">SUM(J8:Q8)</f>
        <v>19.260000000000002</v>
      </c>
      <c r="S8" s="161"/>
    </row>
    <row r="9" spans="1:19" s="12" customFormat="1" ht="48" x14ac:dyDescent="0.2">
      <c r="A9" s="7" t="s">
        <v>389</v>
      </c>
      <c r="B9" s="8" t="s">
        <v>34</v>
      </c>
      <c r="C9" s="11" t="s">
        <v>64</v>
      </c>
      <c r="D9" s="8" t="s">
        <v>715</v>
      </c>
      <c r="E9" s="55">
        <v>43231</v>
      </c>
      <c r="F9" s="55">
        <v>43231</v>
      </c>
      <c r="G9" s="13" t="s">
        <v>716</v>
      </c>
      <c r="H9" s="74"/>
      <c r="I9" s="102"/>
      <c r="J9" s="65"/>
      <c r="K9" s="174">
        <v>16.47</v>
      </c>
      <c r="L9" s="65"/>
      <c r="M9" s="65"/>
      <c r="N9" s="65"/>
      <c r="O9" s="175"/>
      <c r="P9" s="65"/>
      <c r="Q9" s="65"/>
      <c r="R9" s="175">
        <f t="shared" ref="R9" si="5">SUM(J9:Q9)</f>
        <v>16.47</v>
      </c>
      <c r="S9" s="161"/>
    </row>
  </sheetData>
  <pageMargins left="0.7" right="0.7" top="0.75" bottom="0.75" header="0.3" footer="0.3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22"/>
  <sheetViews>
    <sheetView zoomScale="85" zoomScaleNormal="85" workbookViewId="0">
      <selection activeCell="B18" sqref="B18"/>
    </sheetView>
  </sheetViews>
  <sheetFormatPr defaultRowHeight="14.25" x14ac:dyDescent="0.2"/>
  <cols>
    <col min="1" max="1" width="19.75" bestFit="1" customWidth="1"/>
    <col min="2" max="2" width="19.625" customWidth="1"/>
    <col min="3" max="3" width="25" customWidth="1"/>
    <col min="4" max="4" width="38.375" style="6" customWidth="1"/>
    <col min="5" max="6" width="10.625" bestFit="1" customWidth="1"/>
    <col min="7" max="7" width="16.625" bestFit="1" customWidth="1"/>
    <col min="8" max="9" width="9.375" bestFit="1" customWidth="1"/>
    <col min="10" max="10" width="9" bestFit="1" customWidth="1"/>
    <col min="11" max="11" width="12.875" customWidth="1"/>
    <col min="12" max="12" width="14.875" customWidth="1"/>
    <col min="14" max="14" width="9.75" bestFit="1" customWidth="1"/>
    <col min="15" max="15" width="10.875" bestFit="1" customWidth="1"/>
    <col min="16" max="16" width="9.875" customWidth="1"/>
    <col min="17" max="17" width="9.125" bestFit="1" customWidth="1"/>
    <col min="18" max="18" width="9" bestFit="1" customWidth="1"/>
  </cols>
  <sheetData>
    <row r="1" spans="1:18" s="2" customFormat="1" ht="28.5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9" customFormat="1" ht="12" x14ac:dyDescent="0.2">
      <c r="A2" s="7" t="s">
        <v>30</v>
      </c>
      <c r="B2" s="8" t="s">
        <v>25</v>
      </c>
      <c r="C2" s="8" t="s">
        <v>64</v>
      </c>
      <c r="D2" s="20"/>
      <c r="E2" s="55">
        <v>42038</v>
      </c>
      <c r="F2" s="55">
        <v>42039</v>
      </c>
      <c r="G2" s="13" t="s">
        <v>18</v>
      </c>
      <c r="H2" s="7"/>
      <c r="I2" s="7"/>
      <c r="J2" s="46"/>
      <c r="K2" s="46">
        <v>29</v>
      </c>
      <c r="L2" s="46">
        <v>107.79</v>
      </c>
      <c r="M2" s="46"/>
      <c r="N2" s="46"/>
      <c r="O2" s="47">
        <f t="shared" ref="O2:O20" si="0">SUM(J2:N2)</f>
        <v>136.79000000000002</v>
      </c>
      <c r="P2" s="46"/>
      <c r="Q2" s="46"/>
      <c r="R2" s="47">
        <f>SUM(O2:P2:Q2)</f>
        <v>136.79000000000002</v>
      </c>
    </row>
    <row r="3" spans="1:18" s="9" customFormat="1" ht="12" x14ac:dyDescent="0.2">
      <c r="A3" s="7" t="s">
        <v>27</v>
      </c>
      <c r="B3" s="8" t="s">
        <v>37</v>
      </c>
      <c r="C3" s="8" t="s">
        <v>64</v>
      </c>
      <c r="D3" s="20"/>
      <c r="E3" s="55">
        <v>42038</v>
      </c>
      <c r="F3" s="55">
        <v>42039</v>
      </c>
      <c r="G3" s="13" t="s">
        <v>18</v>
      </c>
      <c r="H3" s="7"/>
      <c r="I3" s="7"/>
      <c r="J3" s="7"/>
      <c r="K3" s="7"/>
      <c r="L3" s="46">
        <v>133.44999999999999</v>
      </c>
      <c r="M3" s="7"/>
      <c r="N3" s="7"/>
      <c r="O3" s="47">
        <f t="shared" si="0"/>
        <v>133.44999999999999</v>
      </c>
      <c r="P3" s="7"/>
      <c r="Q3" s="7"/>
      <c r="R3" s="47">
        <f>SUM(O3:P3:Q3)</f>
        <v>133.44999999999999</v>
      </c>
    </row>
    <row r="4" spans="1:18" s="63" customFormat="1" ht="24" x14ac:dyDescent="0.2">
      <c r="A4" s="8" t="s">
        <v>20</v>
      </c>
      <c r="B4" s="8" t="s">
        <v>21</v>
      </c>
      <c r="C4" s="14" t="s">
        <v>52</v>
      </c>
      <c r="D4" s="8" t="s">
        <v>79</v>
      </c>
      <c r="E4" s="62">
        <v>42038</v>
      </c>
      <c r="F4" s="62">
        <v>42038</v>
      </c>
      <c r="G4" s="13" t="s">
        <v>18</v>
      </c>
      <c r="H4" s="8"/>
      <c r="I4" s="8"/>
      <c r="J4" s="8"/>
      <c r="K4" s="51">
        <v>25</v>
      </c>
      <c r="L4" s="8"/>
      <c r="M4" s="8"/>
      <c r="N4" s="8"/>
      <c r="O4" s="61">
        <f t="shared" si="0"/>
        <v>25</v>
      </c>
      <c r="P4" s="8"/>
      <c r="Q4" s="8"/>
      <c r="R4" s="61">
        <f t="shared" ref="R4:R10" si="1">SUM(O4:Q4)</f>
        <v>25</v>
      </c>
    </row>
    <row r="5" spans="1:18" s="9" customFormat="1" ht="24" x14ac:dyDescent="0.2">
      <c r="A5" s="7" t="s">
        <v>20</v>
      </c>
      <c r="B5" s="8" t="s">
        <v>21</v>
      </c>
      <c r="C5" s="14" t="s">
        <v>52</v>
      </c>
      <c r="D5" s="64" t="s">
        <v>77</v>
      </c>
      <c r="E5" s="55">
        <v>42039</v>
      </c>
      <c r="F5" s="55">
        <v>42040</v>
      </c>
      <c r="G5" s="13" t="s">
        <v>24</v>
      </c>
      <c r="H5" s="7"/>
      <c r="I5" s="7"/>
      <c r="J5" s="46">
        <v>438.59</v>
      </c>
      <c r="K5" s="51">
        <v>108.97</v>
      </c>
      <c r="L5" s="46">
        <v>261.20999999999998</v>
      </c>
      <c r="M5" s="7"/>
      <c r="N5" s="7"/>
      <c r="O5" s="47">
        <f t="shared" si="0"/>
        <v>808.77</v>
      </c>
      <c r="P5" s="7"/>
      <c r="Q5" s="7"/>
      <c r="R5" s="47">
        <f>SUM(O5:Q5)</f>
        <v>808.77</v>
      </c>
    </row>
    <row r="6" spans="1:18" s="9" customFormat="1" ht="12" x14ac:dyDescent="0.2">
      <c r="A6" s="7" t="s">
        <v>20</v>
      </c>
      <c r="B6" s="8" t="s">
        <v>21</v>
      </c>
      <c r="C6" s="8" t="s">
        <v>65</v>
      </c>
      <c r="D6" s="8"/>
      <c r="E6" s="55">
        <v>42018</v>
      </c>
      <c r="F6" s="55">
        <v>42018</v>
      </c>
      <c r="G6" s="13" t="s">
        <v>18</v>
      </c>
      <c r="H6" s="7"/>
      <c r="I6" s="7"/>
      <c r="J6" s="7"/>
      <c r="K6" s="51">
        <v>15</v>
      </c>
      <c r="L6" s="7"/>
      <c r="M6" s="7"/>
      <c r="N6" s="7"/>
      <c r="O6" s="47">
        <f t="shared" si="0"/>
        <v>15</v>
      </c>
      <c r="P6" s="7"/>
      <c r="Q6" s="7"/>
      <c r="R6" s="47">
        <f t="shared" si="1"/>
        <v>15</v>
      </c>
    </row>
    <row r="7" spans="1:18" s="9" customFormat="1" ht="24" x14ac:dyDescent="0.2">
      <c r="A7" s="7" t="s">
        <v>20</v>
      </c>
      <c r="B7" s="8" t="s">
        <v>21</v>
      </c>
      <c r="C7" s="8" t="s">
        <v>66</v>
      </c>
      <c r="D7" s="50" t="s">
        <v>80</v>
      </c>
      <c r="E7" s="55">
        <v>42024</v>
      </c>
      <c r="F7" s="55">
        <v>42024</v>
      </c>
      <c r="G7" s="13" t="s">
        <v>22</v>
      </c>
      <c r="H7" s="7"/>
      <c r="I7" s="7"/>
      <c r="J7" s="7"/>
      <c r="K7" s="51">
        <v>92</v>
      </c>
      <c r="L7" s="7"/>
      <c r="M7" s="7"/>
      <c r="N7" s="7"/>
      <c r="O7" s="47">
        <f t="shared" si="0"/>
        <v>92</v>
      </c>
      <c r="P7" s="7"/>
      <c r="Q7" s="7"/>
      <c r="R7" s="47">
        <f t="shared" si="1"/>
        <v>92</v>
      </c>
    </row>
    <row r="8" spans="1:18" s="9" customFormat="1" ht="12" x14ac:dyDescent="0.2">
      <c r="A8" s="7" t="s">
        <v>20</v>
      </c>
      <c r="B8" s="8" t="s">
        <v>21</v>
      </c>
      <c r="C8" s="8" t="s">
        <v>67</v>
      </c>
      <c r="D8" s="8"/>
      <c r="E8" s="55">
        <v>42025</v>
      </c>
      <c r="F8" s="55">
        <v>42025</v>
      </c>
      <c r="G8" s="13" t="s">
        <v>18</v>
      </c>
      <c r="H8" s="7"/>
      <c r="I8" s="7"/>
      <c r="J8" s="7"/>
      <c r="K8" s="51">
        <v>15</v>
      </c>
      <c r="L8" s="7"/>
      <c r="M8" s="7"/>
      <c r="N8" s="7"/>
      <c r="O8" s="47">
        <f t="shared" si="0"/>
        <v>15</v>
      </c>
      <c r="P8" s="7"/>
      <c r="Q8" s="7"/>
      <c r="R8" s="47">
        <f t="shared" si="1"/>
        <v>15</v>
      </c>
    </row>
    <row r="9" spans="1:18" s="9" customFormat="1" ht="12" x14ac:dyDescent="0.2">
      <c r="A9" s="7" t="s">
        <v>20</v>
      </c>
      <c r="B9" s="8" t="s">
        <v>21</v>
      </c>
      <c r="C9" s="8" t="s">
        <v>68</v>
      </c>
      <c r="D9" s="8"/>
      <c r="E9" s="55">
        <v>42026</v>
      </c>
      <c r="F9" s="55">
        <v>42026</v>
      </c>
      <c r="G9" s="13" t="s">
        <v>18</v>
      </c>
      <c r="H9" s="7"/>
      <c r="I9" s="7"/>
      <c r="J9" s="7"/>
      <c r="K9" s="51">
        <v>4.5</v>
      </c>
      <c r="L9" s="7"/>
      <c r="M9" s="7"/>
      <c r="N9" s="7"/>
      <c r="O9" s="47">
        <f t="shared" si="0"/>
        <v>4.5</v>
      </c>
      <c r="P9" s="7"/>
      <c r="Q9" s="7"/>
      <c r="R9" s="47">
        <f t="shared" si="1"/>
        <v>4.5</v>
      </c>
    </row>
    <row r="10" spans="1:18" s="9" customFormat="1" ht="12" x14ac:dyDescent="0.2">
      <c r="A10" s="7" t="s">
        <v>20</v>
      </c>
      <c r="B10" s="8" t="s">
        <v>21</v>
      </c>
      <c r="C10" s="8" t="s">
        <v>64</v>
      </c>
      <c r="D10" s="8" t="s">
        <v>81</v>
      </c>
      <c r="E10" s="55">
        <v>42034</v>
      </c>
      <c r="F10" s="55">
        <v>42034</v>
      </c>
      <c r="G10" s="13" t="s">
        <v>23</v>
      </c>
      <c r="H10" s="7"/>
      <c r="I10" s="7"/>
      <c r="J10" s="7"/>
      <c r="K10" s="51">
        <v>176</v>
      </c>
      <c r="L10" s="7"/>
      <c r="M10" s="7"/>
      <c r="N10" s="7"/>
      <c r="O10" s="47">
        <f t="shared" si="0"/>
        <v>176</v>
      </c>
      <c r="P10" s="7"/>
      <c r="Q10" s="7"/>
      <c r="R10" s="47">
        <f t="shared" si="1"/>
        <v>176</v>
      </c>
    </row>
    <row r="11" spans="1:18" s="9" customFormat="1" ht="24" x14ac:dyDescent="0.2">
      <c r="A11" s="7" t="s">
        <v>20</v>
      </c>
      <c r="B11" s="8" t="s">
        <v>21</v>
      </c>
      <c r="C11" s="8" t="s">
        <v>66</v>
      </c>
      <c r="D11" s="8" t="s">
        <v>82</v>
      </c>
      <c r="E11" s="55">
        <v>42011</v>
      </c>
      <c r="F11" s="55">
        <v>42011</v>
      </c>
      <c r="G11" s="13" t="s">
        <v>18</v>
      </c>
      <c r="H11" s="7"/>
      <c r="I11" s="7"/>
      <c r="J11" s="7"/>
      <c r="K11" s="51">
        <v>8.85</v>
      </c>
      <c r="L11" s="7"/>
      <c r="M11" s="7"/>
      <c r="N11" s="7"/>
      <c r="O11" s="47">
        <f t="shared" si="0"/>
        <v>8.85</v>
      </c>
      <c r="P11" s="7"/>
      <c r="Q11" s="7"/>
      <c r="R11" s="47">
        <f t="shared" ref="R11:R20" si="2">SUM(O11:Q11)</f>
        <v>8.85</v>
      </c>
    </row>
    <row r="12" spans="1:18" s="9" customFormat="1" ht="24" x14ac:dyDescent="0.2">
      <c r="A12" s="7" t="s">
        <v>20</v>
      </c>
      <c r="B12" s="8" t="s">
        <v>21</v>
      </c>
      <c r="C12" s="14" t="s">
        <v>52</v>
      </c>
      <c r="D12" s="8" t="s">
        <v>83</v>
      </c>
      <c r="E12" s="55">
        <v>42059</v>
      </c>
      <c r="F12" s="55">
        <v>42059</v>
      </c>
      <c r="G12" s="13" t="s">
        <v>18</v>
      </c>
      <c r="H12" s="7"/>
      <c r="I12" s="7"/>
      <c r="J12" s="7"/>
      <c r="K12" s="51">
        <v>9</v>
      </c>
      <c r="L12" s="7"/>
      <c r="M12" s="7"/>
      <c r="N12" s="7"/>
      <c r="O12" s="47">
        <f t="shared" si="0"/>
        <v>9</v>
      </c>
      <c r="P12" s="7"/>
      <c r="Q12" s="7"/>
      <c r="R12" s="47">
        <f t="shared" si="2"/>
        <v>9</v>
      </c>
    </row>
    <row r="13" spans="1:18" s="9" customFormat="1" ht="24" x14ac:dyDescent="0.2">
      <c r="A13" s="7" t="s">
        <v>31</v>
      </c>
      <c r="B13" s="14" t="s">
        <v>32</v>
      </c>
      <c r="C13" s="8" t="s">
        <v>69</v>
      </c>
      <c r="D13" s="20"/>
      <c r="E13" s="55">
        <v>42038</v>
      </c>
      <c r="F13" s="55">
        <v>42038</v>
      </c>
      <c r="G13" s="13" t="s">
        <v>35</v>
      </c>
      <c r="H13" s="7"/>
      <c r="I13" s="7"/>
      <c r="J13" s="46"/>
      <c r="K13" s="46">
        <v>26.4</v>
      </c>
      <c r="L13" s="46"/>
      <c r="M13" s="46"/>
      <c r="N13" s="46"/>
      <c r="O13" s="47">
        <f t="shared" si="0"/>
        <v>26.4</v>
      </c>
      <c r="P13" s="46"/>
      <c r="Q13" s="46"/>
      <c r="R13" s="47">
        <f t="shared" si="2"/>
        <v>26.4</v>
      </c>
    </row>
    <row r="14" spans="1:18" s="9" customFormat="1" ht="24" x14ac:dyDescent="0.2">
      <c r="A14" s="7" t="s">
        <v>31</v>
      </c>
      <c r="B14" s="14" t="s">
        <v>32</v>
      </c>
      <c r="C14" s="8" t="s">
        <v>69</v>
      </c>
      <c r="D14" s="20"/>
      <c r="E14" s="55">
        <v>42039</v>
      </c>
      <c r="F14" s="55">
        <v>42039</v>
      </c>
      <c r="G14" s="13" t="s">
        <v>36</v>
      </c>
      <c r="H14" s="7"/>
      <c r="I14" s="7"/>
      <c r="J14" s="46"/>
      <c r="K14" s="46">
        <v>20</v>
      </c>
      <c r="L14" s="46"/>
      <c r="M14" s="46"/>
      <c r="N14" s="46"/>
      <c r="O14" s="47">
        <f t="shared" si="0"/>
        <v>20</v>
      </c>
      <c r="P14" s="46"/>
      <c r="Q14" s="46"/>
      <c r="R14" s="47">
        <f t="shared" si="2"/>
        <v>20</v>
      </c>
    </row>
    <row r="15" spans="1:18" s="9" customFormat="1" ht="24" x14ac:dyDescent="0.2">
      <c r="A15" s="7" t="s">
        <v>31</v>
      </c>
      <c r="B15" s="14" t="s">
        <v>32</v>
      </c>
      <c r="C15" s="8" t="s">
        <v>70</v>
      </c>
      <c r="D15" s="20"/>
      <c r="E15" s="55">
        <v>42040</v>
      </c>
      <c r="F15" s="55">
        <v>42040</v>
      </c>
      <c r="G15" s="13" t="s">
        <v>36</v>
      </c>
      <c r="H15" s="7"/>
      <c r="I15" s="7"/>
      <c r="J15" s="46"/>
      <c r="K15" s="46">
        <v>100</v>
      </c>
      <c r="L15" s="46"/>
      <c r="M15" s="46">
        <v>7.84</v>
      </c>
      <c r="N15" s="46"/>
      <c r="O15" s="47">
        <f t="shared" si="0"/>
        <v>107.84</v>
      </c>
      <c r="P15" s="46"/>
      <c r="Q15" s="46"/>
      <c r="R15" s="47">
        <f t="shared" si="2"/>
        <v>107.84</v>
      </c>
    </row>
    <row r="16" spans="1:18" s="9" customFormat="1" ht="24" x14ac:dyDescent="0.2">
      <c r="A16" s="7" t="s">
        <v>31</v>
      </c>
      <c r="B16" s="14" t="s">
        <v>32</v>
      </c>
      <c r="C16" s="14" t="s">
        <v>52</v>
      </c>
      <c r="D16" s="20" t="s">
        <v>84</v>
      </c>
      <c r="E16" s="55">
        <v>42054</v>
      </c>
      <c r="F16" s="55">
        <v>42054</v>
      </c>
      <c r="G16" s="13" t="s">
        <v>18</v>
      </c>
      <c r="H16" s="7"/>
      <c r="I16" s="7"/>
      <c r="J16" s="46"/>
      <c r="K16" s="46">
        <v>6.38</v>
      </c>
      <c r="L16" s="46"/>
      <c r="M16" s="46"/>
      <c r="N16" s="46"/>
      <c r="O16" s="47">
        <f t="shared" si="0"/>
        <v>6.38</v>
      </c>
      <c r="P16" s="46"/>
      <c r="Q16" s="46"/>
      <c r="R16" s="47">
        <f t="shared" si="2"/>
        <v>6.38</v>
      </c>
    </row>
    <row r="17" spans="1:18" s="9" customFormat="1" ht="24" x14ac:dyDescent="0.2">
      <c r="A17" s="7" t="s">
        <v>38</v>
      </c>
      <c r="B17" s="8" t="s">
        <v>39</v>
      </c>
      <c r="C17" s="8" t="s">
        <v>63</v>
      </c>
      <c r="D17" s="8"/>
      <c r="E17" s="55">
        <v>42025</v>
      </c>
      <c r="F17" s="55">
        <v>42025</v>
      </c>
      <c r="G17" s="13" t="s">
        <v>18</v>
      </c>
      <c r="H17" s="7"/>
      <c r="I17" s="7"/>
      <c r="J17" s="46"/>
      <c r="K17" s="65">
        <v>15</v>
      </c>
      <c r="L17" s="46"/>
      <c r="M17" s="46"/>
      <c r="N17" s="46"/>
      <c r="O17" s="47">
        <f t="shared" si="0"/>
        <v>15</v>
      </c>
      <c r="P17" s="46"/>
      <c r="Q17" s="46"/>
      <c r="R17" s="47">
        <f t="shared" si="2"/>
        <v>15</v>
      </c>
    </row>
    <row r="18" spans="1:18" s="9" customFormat="1" ht="24" x14ac:dyDescent="0.2">
      <c r="A18" s="7" t="s">
        <v>38</v>
      </c>
      <c r="B18" s="8" t="s">
        <v>39</v>
      </c>
      <c r="C18" s="8" t="s">
        <v>71</v>
      </c>
      <c r="D18" s="8" t="s">
        <v>85</v>
      </c>
      <c r="E18" s="55">
        <v>42032</v>
      </c>
      <c r="F18" s="55">
        <v>42032</v>
      </c>
      <c r="G18" s="13" t="s">
        <v>18</v>
      </c>
      <c r="H18" s="7"/>
      <c r="I18" s="7"/>
      <c r="J18" s="46"/>
      <c r="K18" s="65">
        <v>20.350000000000001</v>
      </c>
      <c r="L18" s="46"/>
      <c r="M18" s="46"/>
      <c r="N18" s="46"/>
      <c r="O18" s="47">
        <f t="shared" si="0"/>
        <v>20.350000000000001</v>
      </c>
      <c r="P18" s="46"/>
      <c r="Q18" s="46"/>
      <c r="R18" s="47">
        <f t="shared" si="2"/>
        <v>20.350000000000001</v>
      </c>
    </row>
    <row r="19" spans="1:18" s="9" customFormat="1" ht="24" x14ac:dyDescent="0.2">
      <c r="A19" s="7" t="s">
        <v>33</v>
      </c>
      <c r="B19" s="14" t="s">
        <v>34</v>
      </c>
      <c r="C19" s="8" t="s">
        <v>72</v>
      </c>
      <c r="D19" s="20"/>
      <c r="E19" s="55">
        <v>42038</v>
      </c>
      <c r="F19" s="55">
        <v>42039</v>
      </c>
      <c r="G19" s="13" t="s">
        <v>43</v>
      </c>
      <c r="H19" s="7"/>
      <c r="I19" s="7"/>
      <c r="J19" s="46"/>
      <c r="K19" s="46">
        <v>122</v>
      </c>
      <c r="L19" s="46"/>
      <c r="M19" s="46"/>
      <c r="N19" s="46"/>
      <c r="O19" s="47">
        <f t="shared" si="0"/>
        <v>122</v>
      </c>
      <c r="P19" s="46"/>
      <c r="Q19" s="46"/>
      <c r="R19" s="47">
        <f t="shared" si="2"/>
        <v>122</v>
      </c>
    </row>
    <row r="20" spans="1:18" s="9" customFormat="1" ht="24" x14ac:dyDescent="0.2">
      <c r="A20" s="7" t="s">
        <v>33</v>
      </c>
      <c r="B20" s="14" t="s">
        <v>34</v>
      </c>
      <c r="C20" s="8" t="s">
        <v>72</v>
      </c>
      <c r="D20" s="20"/>
      <c r="E20" s="55">
        <v>42040</v>
      </c>
      <c r="F20" s="55">
        <v>42041</v>
      </c>
      <c r="G20" s="13" t="s">
        <v>42</v>
      </c>
      <c r="H20" s="7"/>
      <c r="I20" s="7"/>
      <c r="J20" s="46"/>
      <c r="K20" s="46">
        <v>175.16</v>
      </c>
      <c r="L20" s="46">
        <v>99</v>
      </c>
      <c r="M20" s="46">
        <v>17.73</v>
      </c>
      <c r="N20" s="46"/>
      <c r="O20" s="47">
        <f t="shared" si="0"/>
        <v>291.89</v>
      </c>
      <c r="P20" s="46"/>
      <c r="Q20" s="46"/>
      <c r="R20" s="47">
        <f t="shared" si="2"/>
        <v>291.89</v>
      </c>
    </row>
    <row r="21" spans="1:18" s="49" customFormat="1" ht="12" x14ac:dyDescent="0.2">
      <c r="D21" s="66"/>
    </row>
    <row r="22" spans="1:18" s="49" customFormat="1" ht="12" x14ac:dyDescent="0.2">
      <c r="D22" s="66"/>
    </row>
  </sheetData>
  <pageMargins left="0.7" right="0.7" top="0.75" bottom="0.75" header="0.3" footer="0.3"/>
  <pageSetup scale="4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4753-6186-45C9-90DF-7240F396642A}">
  <dimension ref="A1:U12"/>
  <sheetViews>
    <sheetView workbookViewId="0">
      <selection activeCell="A5" sqref="A5:B5"/>
    </sheetView>
  </sheetViews>
  <sheetFormatPr defaultColWidth="9" defaultRowHeight="12.75" x14ac:dyDescent="0.2"/>
  <cols>
    <col min="1" max="1" width="15.5" style="189" bestFit="1" customWidth="1"/>
    <col min="2" max="2" width="22.25" style="189" bestFit="1" customWidth="1"/>
    <col min="3" max="3" width="50.125" style="189" bestFit="1" customWidth="1"/>
    <col min="4" max="4" width="33" style="189" bestFit="1" customWidth="1"/>
    <col min="5" max="6" width="9.875" style="209" bestFit="1" customWidth="1"/>
    <col min="7" max="7" width="14.375" style="189" bestFit="1" customWidth="1"/>
    <col min="8" max="16384" width="9" style="189"/>
  </cols>
  <sheetData>
    <row r="1" spans="1:21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198" t="s">
        <v>5</v>
      </c>
      <c r="F1" s="198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21" ht="25.5" customHeight="1" x14ac:dyDescent="0.2">
      <c r="A2" s="190" t="s">
        <v>717</v>
      </c>
      <c r="B2" s="179" t="s">
        <v>25</v>
      </c>
      <c r="C2" s="180" t="s">
        <v>718</v>
      </c>
      <c r="D2" s="180" t="s">
        <v>718</v>
      </c>
      <c r="E2" s="199">
        <v>43496</v>
      </c>
      <c r="F2" s="199">
        <v>43497</v>
      </c>
      <c r="G2" s="190" t="s">
        <v>719</v>
      </c>
      <c r="H2" s="190"/>
      <c r="I2" s="190"/>
      <c r="J2" s="191">
        <v>200.12</v>
      </c>
      <c r="K2" s="190"/>
      <c r="L2" s="190"/>
      <c r="M2" s="190"/>
      <c r="N2" s="190"/>
      <c r="O2" s="188"/>
      <c r="P2" s="186"/>
      <c r="Q2" s="190"/>
      <c r="R2" s="188">
        <f>SUM(J2:O2)</f>
        <v>200.12</v>
      </c>
    </row>
    <row r="3" spans="1:21" ht="25.5" x14ac:dyDescent="0.2">
      <c r="A3" s="190" t="s">
        <v>359</v>
      </c>
      <c r="B3" s="190" t="s">
        <v>25</v>
      </c>
      <c r="C3" s="190" t="s">
        <v>720</v>
      </c>
      <c r="D3" s="197" t="s">
        <v>734</v>
      </c>
      <c r="E3" s="199">
        <v>43487</v>
      </c>
      <c r="F3" s="199">
        <v>43487</v>
      </c>
      <c r="G3" s="190" t="s">
        <v>719</v>
      </c>
      <c r="H3" s="190"/>
      <c r="I3" s="190"/>
      <c r="J3" s="190"/>
      <c r="K3" s="190">
        <v>53.75</v>
      </c>
      <c r="L3" s="190"/>
      <c r="M3" s="190"/>
      <c r="N3" s="190"/>
      <c r="O3" s="188"/>
      <c r="P3" s="186"/>
      <c r="Q3" s="190"/>
      <c r="R3" s="188">
        <f>SUM(J3:O3)</f>
        <v>53.75</v>
      </c>
    </row>
    <row r="4" spans="1:21" ht="33.75" customHeight="1" x14ac:dyDescent="0.2">
      <c r="A4" s="179" t="s">
        <v>576</v>
      </c>
      <c r="B4" s="179" t="s">
        <v>21</v>
      </c>
      <c r="C4" s="181" t="s">
        <v>201</v>
      </c>
      <c r="D4" s="181" t="s">
        <v>721</v>
      </c>
      <c r="E4" s="200">
        <v>43571</v>
      </c>
      <c r="F4" s="200">
        <v>43572</v>
      </c>
      <c r="G4" s="183" t="s">
        <v>135</v>
      </c>
      <c r="H4" s="184"/>
      <c r="I4" s="185"/>
      <c r="J4" s="186">
        <f>352.3-2.86-33.7</f>
        <v>315.74</v>
      </c>
      <c r="K4" s="187"/>
      <c r="L4" s="186"/>
      <c r="M4" s="186"/>
      <c r="N4" s="186"/>
      <c r="O4" s="188"/>
      <c r="P4" s="186"/>
      <c r="Q4" s="186"/>
      <c r="R4" s="188">
        <f t="shared" ref="R4:R6" si="0">SUM(J4:Q4)</f>
        <v>315.74</v>
      </c>
    </row>
    <row r="5" spans="1:21" s="208" customFormat="1" ht="25.5" x14ac:dyDescent="0.2">
      <c r="A5" s="201" t="s">
        <v>31</v>
      </c>
      <c r="B5" s="202" t="s">
        <v>597</v>
      </c>
      <c r="C5" s="180" t="s">
        <v>723</v>
      </c>
      <c r="D5" s="180" t="s">
        <v>722</v>
      </c>
      <c r="E5" s="200">
        <v>43517</v>
      </c>
      <c r="F5" s="200">
        <v>43517</v>
      </c>
      <c r="G5" s="183" t="s">
        <v>350</v>
      </c>
      <c r="H5" s="184"/>
      <c r="I5" s="185"/>
      <c r="J5" s="203"/>
      <c r="K5" s="203">
        <v>78.14</v>
      </c>
      <c r="L5" s="204"/>
      <c r="M5" s="204">
        <v>19.91</v>
      </c>
      <c r="N5" s="186"/>
      <c r="O5" s="205"/>
      <c r="P5" s="204"/>
      <c r="Q5" s="206"/>
      <c r="R5" s="188">
        <f t="shared" si="0"/>
        <v>98.05</v>
      </c>
      <c r="S5" s="207"/>
      <c r="T5" s="207"/>
      <c r="U5" s="207"/>
    </row>
    <row r="6" spans="1:21" ht="25.5" x14ac:dyDescent="0.2">
      <c r="A6" s="179" t="s">
        <v>576</v>
      </c>
      <c r="B6" s="179" t="s">
        <v>21</v>
      </c>
      <c r="C6" s="180" t="s">
        <v>302</v>
      </c>
      <c r="D6" s="181" t="s">
        <v>735</v>
      </c>
      <c r="E6" s="199">
        <v>43385</v>
      </c>
      <c r="F6" s="199">
        <v>43385</v>
      </c>
      <c r="G6" s="190" t="s">
        <v>724</v>
      </c>
      <c r="H6" s="190"/>
      <c r="I6" s="190"/>
      <c r="J6" s="190"/>
      <c r="K6" s="190">
        <v>42</v>
      </c>
      <c r="L6" s="190"/>
      <c r="M6" s="190"/>
      <c r="N6" s="190"/>
      <c r="O6" s="205"/>
      <c r="P6" s="190"/>
      <c r="Q6" s="190"/>
      <c r="R6" s="188">
        <f t="shared" si="0"/>
        <v>42</v>
      </c>
    </row>
    <row r="7" spans="1:21" x14ac:dyDescent="0.2">
      <c r="A7" s="179" t="s">
        <v>576</v>
      </c>
      <c r="B7" s="179" t="s">
        <v>21</v>
      </c>
      <c r="C7" s="180" t="s">
        <v>302</v>
      </c>
      <c r="D7" s="8" t="s">
        <v>725</v>
      </c>
      <c r="E7" s="210">
        <v>43431</v>
      </c>
      <c r="F7" s="199">
        <v>43431</v>
      </c>
      <c r="G7" s="190" t="s">
        <v>35</v>
      </c>
      <c r="H7" s="190"/>
      <c r="I7" s="190"/>
      <c r="J7" s="190"/>
      <c r="K7" s="190">
        <v>32.799999999999997</v>
      </c>
      <c r="L7" s="190"/>
      <c r="M7" s="190"/>
      <c r="N7" s="190"/>
      <c r="O7" s="205"/>
      <c r="P7" s="190"/>
      <c r="Q7" s="190"/>
      <c r="R7" s="188">
        <f t="shared" ref="R7" si="1">SUM(J7:Q7)</f>
        <v>32.799999999999997</v>
      </c>
    </row>
    <row r="8" spans="1:21" ht="24" x14ac:dyDescent="0.2">
      <c r="A8" s="179" t="s">
        <v>576</v>
      </c>
      <c r="B8" s="179" t="s">
        <v>21</v>
      </c>
      <c r="C8" s="8" t="s">
        <v>727</v>
      </c>
      <c r="D8" s="8" t="s">
        <v>726</v>
      </c>
      <c r="E8" s="210">
        <v>43486</v>
      </c>
      <c r="F8" s="199">
        <v>43486</v>
      </c>
      <c r="G8" s="190" t="s">
        <v>728</v>
      </c>
      <c r="H8" s="190"/>
      <c r="I8" s="190"/>
      <c r="J8" s="190"/>
      <c r="K8" s="190">
        <v>68.400000000000006</v>
      </c>
      <c r="L8" s="190"/>
      <c r="M8" s="190"/>
      <c r="N8" s="190"/>
      <c r="O8" s="205"/>
      <c r="P8" s="190"/>
      <c r="Q8" s="190"/>
      <c r="R8" s="188">
        <f t="shared" ref="R8:R9" si="2">SUM(J8:Q8)</f>
        <v>68.400000000000006</v>
      </c>
    </row>
    <row r="9" spans="1:21" x14ac:dyDescent="0.2">
      <c r="A9" s="179" t="s">
        <v>576</v>
      </c>
      <c r="B9" s="179" t="s">
        <v>21</v>
      </c>
      <c r="C9" s="180" t="s">
        <v>302</v>
      </c>
      <c r="D9" s="8" t="s">
        <v>729</v>
      </c>
      <c r="E9" s="210">
        <v>43497</v>
      </c>
      <c r="F9" s="199">
        <v>43497</v>
      </c>
      <c r="G9" s="190" t="s">
        <v>18</v>
      </c>
      <c r="H9" s="190"/>
      <c r="I9" s="190"/>
      <c r="J9" s="190"/>
      <c r="K9" s="190">
        <v>46.4</v>
      </c>
      <c r="L9" s="190"/>
      <c r="M9" s="190"/>
      <c r="N9" s="190"/>
      <c r="O9" s="205"/>
      <c r="P9" s="190"/>
      <c r="Q9" s="190"/>
      <c r="R9" s="188">
        <f t="shared" si="2"/>
        <v>46.4</v>
      </c>
    </row>
    <row r="10" spans="1:21" s="208" customFormat="1" ht="25.5" x14ac:dyDescent="0.2">
      <c r="A10" s="179" t="s">
        <v>576</v>
      </c>
      <c r="B10" s="179" t="s">
        <v>21</v>
      </c>
      <c r="C10" s="180" t="s">
        <v>723</v>
      </c>
      <c r="D10" s="180" t="s">
        <v>731</v>
      </c>
      <c r="E10" s="200">
        <v>43518</v>
      </c>
      <c r="F10" s="200">
        <v>43518</v>
      </c>
      <c r="G10" s="183" t="s">
        <v>18</v>
      </c>
      <c r="H10" s="184"/>
      <c r="I10" s="185"/>
      <c r="J10" s="203"/>
      <c r="K10" s="203">
        <v>81.599999999999994</v>
      </c>
      <c r="L10" s="204"/>
      <c r="M10" s="204"/>
      <c r="N10" s="186"/>
      <c r="O10" s="205"/>
      <c r="P10" s="204"/>
      <c r="Q10" s="206"/>
      <c r="R10" s="188">
        <f t="shared" ref="R10" si="3">SUM(J10:Q10)</f>
        <v>81.599999999999994</v>
      </c>
      <c r="S10" s="207"/>
      <c r="T10" s="207"/>
      <c r="U10" s="207"/>
    </row>
    <row r="11" spans="1:21" s="208" customFormat="1" ht="25.5" x14ac:dyDescent="0.2">
      <c r="A11" s="179" t="s">
        <v>576</v>
      </c>
      <c r="B11" s="179" t="s">
        <v>21</v>
      </c>
      <c r="C11" s="180" t="s">
        <v>723</v>
      </c>
      <c r="D11" s="180" t="s">
        <v>730</v>
      </c>
      <c r="E11" s="200">
        <v>43538</v>
      </c>
      <c r="F11" s="200">
        <v>43538</v>
      </c>
      <c r="G11" s="183" t="s">
        <v>35</v>
      </c>
      <c r="H11" s="184"/>
      <c r="I11" s="185"/>
      <c r="J11" s="203"/>
      <c r="K11" s="203">
        <f>45.6+1.11</f>
        <v>46.71</v>
      </c>
      <c r="L11" s="204"/>
      <c r="M11" s="204"/>
      <c r="N11" s="186"/>
      <c r="O11" s="205"/>
      <c r="P11" s="204"/>
      <c r="Q11" s="206"/>
      <c r="R11" s="188">
        <f>SUM(J11:Q11)</f>
        <v>46.71</v>
      </c>
      <c r="S11" s="207"/>
      <c r="T11" s="207"/>
      <c r="U11" s="207"/>
    </row>
    <row r="12" spans="1:21" s="208" customFormat="1" ht="38.25" x14ac:dyDescent="0.2">
      <c r="A12" s="179" t="s">
        <v>576</v>
      </c>
      <c r="B12" s="179" t="s">
        <v>21</v>
      </c>
      <c r="C12" s="180" t="s">
        <v>723</v>
      </c>
      <c r="D12" s="180" t="s">
        <v>733</v>
      </c>
      <c r="E12" s="200">
        <v>43547</v>
      </c>
      <c r="F12" s="200">
        <v>43547</v>
      </c>
      <c r="G12" s="183" t="s">
        <v>732</v>
      </c>
      <c r="H12" s="184"/>
      <c r="I12" s="185"/>
      <c r="J12" s="203"/>
      <c r="K12" s="203">
        <v>107.2</v>
      </c>
      <c r="L12" s="204"/>
      <c r="M12" s="204"/>
      <c r="N12" s="186"/>
      <c r="O12" s="205"/>
      <c r="P12" s="204"/>
      <c r="Q12" s="206"/>
      <c r="R12" s="188">
        <f t="shared" ref="R12" si="4">SUM(J12:Q12)</f>
        <v>107.2</v>
      </c>
      <c r="S12" s="207"/>
      <c r="T12" s="207"/>
      <c r="U12" s="207"/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0CB2-4803-4A55-9ED1-5BC0D980CAF4}">
  <dimension ref="A1:R27"/>
  <sheetViews>
    <sheetView zoomScale="85" zoomScaleNormal="85" workbookViewId="0">
      <selection activeCell="C2" sqref="C2"/>
    </sheetView>
  </sheetViews>
  <sheetFormatPr defaultRowHeight="14.25" x14ac:dyDescent="0.2"/>
  <cols>
    <col min="1" max="1" width="17.125" bestFit="1" customWidth="1"/>
    <col min="2" max="2" width="17.375" bestFit="1" customWidth="1"/>
    <col min="3" max="3" width="42.25" bestFit="1" customWidth="1"/>
    <col min="4" max="4" width="31.875" bestFit="1" customWidth="1"/>
    <col min="5" max="6" width="9.75" style="212" bestFit="1" customWidth="1"/>
    <col min="7" max="7" width="13.875" bestFit="1" customWidth="1"/>
    <col min="10" max="13" width="9.125" bestFit="1" customWidth="1"/>
    <col min="15" max="15" width="9.125" style="189" bestFit="1" customWidth="1"/>
    <col min="18" max="18" width="9.125" bestFit="1" customWidth="1"/>
  </cols>
  <sheetData>
    <row r="1" spans="1:18" s="189" customFormat="1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211" t="s">
        <v>5</v>
      </c>
      <c r="F1" s="211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ht="30.75" customHeight="1" x14ac:dyDescent="0.2">
      <c r="A2" s="216" t="s">
        <v>576</v>
      </c>
      <c r="B2" s="216" t="s">
        <v>21</v>
      </c>
      <c r="C2" s="217" t="s">
        <v>201</v>
      </c>
      <c r="D2" s="217" t="s">
        <v>721</v>
      </c>
      <c r="E2" s="218">
        <v>43571</v>
      </c>
      <c r="F2" s="218">
        <v>43572</v>
      </c>
      <c r="G2" s="219" t="s">
        <v>135</v>
      </c>
      <c r="H2" s="215"/>
      <c r="I2" s="215"/>
      <c r="J2" s="215"/>
      <c r="K2" s="215">
        <f>58.41+48</f>
        <v>106.41</v>
      </c>
      <c r="L2" s="215">
        <v>119.52</v>
      </c>
      <c r="M2" s="215">
        <v>8.85</v>
      </c>
      <c r="N2" s="215"/>
      <c r="O2" s="220">
        <f>SUM(J2:N2)</f>
        <v>234.78</v>
      </c>
      <c r="P2" s="215"/>
      <c r="Q2" s="215"/>
      <c r="R2" s="221">
        <f>SUM(O2:Q2)</f>
        <v>234.78</v>
      </c>
    </row>
    <row r="3" spans="1:18" x14ac:dyDescent="0.2">
      <c r="A3" s="216" t="s">
        <v>576</v>
      </c>
      <c r="B3" s="216" t="s">
        <v>21</v>
      </c>
      <c r="C3" s="217" t="s">
        <v>201</v>
      </c>
      <c r="D3" s="217" t="s">
        <v>736</v>
      </c>
      <c r="E3" s="214">
        <v>43593</v>
      </c>
      <c r="F3" s="214">
        <v>43594</v>
      </c>
      <c r="G3" s="215" t="s">
        <v>586</v>
      </c>
      <c r="H3" s="215"/>
      <c r="I3" s="215"/>
      <c r="J3" s="215"/>
      <c r="K3" s="215">
        <f>34.8+58.41</f>
        <v>93.21</v>
      </c>
      <c r="L3" s="215"/>
      <c r="M3" s="215">
        <v>28.76</v>
      </c>
      <c r="N3" s="215"/>
      <c r="O3" s="220">
        <f t="shared" ref="O3:O10" si="0">SUM(J3:N3)</f>
        <v>121.97</v>
      </c>
      <c r="P3" s="215"/>
      <c r="Q3" s="215"/>
      <c r="R3" s="221">
        <f t="shared" ref="R3:R9" si="1">SUM(O3:Q3)</f>
        <v>121.97</v>
      </c>
    </row>
    <row r="4" spans="1:18" x14ac:dyDescent="0.2">
      <c r="A4" s="216" t="s">
        <v>576</v>
      </c>
      <c r="B4" s="216" t="s">
        <v>21</v>
      </c>
      <c r="C4" s="222" t="s">
        <v>302</v>
      </c>
      <c r="D4" s="215" t="s">
        <v>737</v>
      </c>
      <c r="E4" s="214">
        <v>43566</v>
      </c>
      <c r="F4" s="214">
        <v>43566</v>
      </c>
      <c r="G4" s="215" t="s">
        <v>295</v>
      </c>
      <c r="H4" s="215"/>
      <c r="I4" s="215"/>
      <c r="J4" s="215"/>
      <c r="K4" s="215">
        <v>41.6</v>
      </c>
      <c r="L4" s="215"/>
      <c r="M4" s="215"/>
      <c r="N4" s="215"/>
      <c r="O4" s="220">
        <f t="shared" si="0"/>
        <v>41.6</v>
      </c>
      <c r="P4" s="215"/>
      <c r="Q4" s="215"/>
      <c r="R4" s="221">
        <f t="shared" si="1"/>
        <v>41.6</v>
      </c>
    </row>
    <row r="5" spans="1:18" x14ac:dyDescent="0.2">
      <c r="A5" s="216" t="s">
        <v>576</v>
      </c>
      <c r="B5" s="216" t="s">
        <v>21</v>
      </c>
      <c r="C5" s="222" t="s">
        <v>288</v>
      </c>
      <c r="D5" s="215" t="s">
        <v>738</v>
      </c>
      <c r="E5" s="214">
        <v>43579</v>
      </c>
      <c r="F5" s="214">
        <v>43579</v>
      </c>
      <c r="G5" s="215" t="s">
        <v>103</v>
      </c>
      <c r="H5" s="215"/>
      <c r="I5" s="215"/>
      <c r="J5" s="215"/>
      <c r="K5" s="215">
        <v>193.6</v>
      </c>
      <c r="L5" s="215"/>
      <c r="M5" s="215"/>
      <c r="N5" s="215"/>
      <c r="O5" s="220">
        <f t="shared" si="0"/>
        <v>193.6</v>
      </c>
      <c r="P5" s="215"/>
      <c r="Q5" s="215"/>
      <c r="R5" s="221">
        <f t="shared" si="1"/>
        <v>193.6</v>
      </c>
    </row>
    <row r="6" spans="1:18" ht="28.5" x14ac:dyDescent="0.2">
      <c r="A6" s="216" t="s">
        <v>576</v>
      </c>
      <c r="B6" s="216" t="s">
        <v>21</v>
      </c>
      <c r="C6" s="222" t="s">
        <v>644</v>
      </c>
      <c r="D6" s="223" t="s">
        <v>742</v>
      </c>
      <c r="E6" s="214">
        <v>43592</v>
      </c>
      <c r="F6" s="214">
        <v>43592</v>
      </c>
      <c r="G6" s="215" t="s">
        <v>529</v>
      </c>
      <c r="H6" s="215"/>
      <c r="I6" s="215"/>
      <c r="J6" s="215"/>
      <c r="K6" s="215">
        <v>12.8</v>
      </c>
      <c r="L6" s="215"/>
      <c r="M6" s="215"/>
      <c r="N6" s="215"/>
      <c r="O6" s="220">
        <f t="shared" si="0"/>
        <v>12.8</v>
      </c>
      <c r="P6" s="215"/>
      <c r="Q6" s="215"/>
      <c r="R6" s="221">
        <f t="shared" si="1"/>
        <v>12.8</v>
      </c>
    </row>
    <row r="7" spans="1:18" ht="28.5" x14ac:dyDescent="0.2">
      <c r="A7" s="216" t="s">
        <v>576</v>
      </c>
      <c r="B7" s="216" t="s">
        <v>21</v>
      </c>
      <c r="C7" s="222" t="s">
        <v>130</v>
      </c>
      <c r="D7" s="222" t="s">
        <v>722</v>
      </c>
      <c r="E7" s="214">
        <v>43609</v>
      </c>
      <c r="F7" s="214">
        <v>43609</v>
      </c>
      <c r="G7" s="215" t="s">
        <v>739</v>
      </c>
      <c r="H7" s="215"/>
      <c r="I7" s="215"/>
      <c r="J7" s="215"/>
      <c r="K7" s="215">
        <v>80</v>
      </c>
      <c r="L7" s="215"/>
      <c r="M7" s="215"/>
      <c r="N7" s="215"/>
      <c r="O7" s="220">
        <f t="shared" si="0"/>
        <v>80</v>
      </c>
      <c r="P7" s="215"/>
      <c r="Q7" s="215"/>
      <c r="R7" s="221">
        <f t="shared" si="1"/>
        <v>80</v>
      </c>
    </row>
    <row r="8" spans="1:18" x14ac:dyDescent="0.2">
      <c r="A8" s="216" t="s">
        <v>740</v>
      </c>
      <c r="B8" s="216" t="s">
        <v>25</v>
      </c>
      <c r="C8" s="222" t="s">
        <v>55</v>
      </c>
      <c r="D8" s="222" t="s">
        <v>55</v>
      </c>
      <c r="E8" s="214">
        <v>43621</v>
      </c>
      <c r="F8" s="214">
        <v>43622</v>
      </c>
      <c r="G8" s="224" t="s">
        <v>18</v>
      </c>
      <c r="H8" s="215"/>
      <c r="I8" s="215"/>
      <c r="J8" s="215"/>
      <c r="K8" s="224">
        <v>46</v>
      </c>
      <c r="L8" s="215">
        <v>176.8</v>
      </c>
      <c r="M8" s="215"/>
      <c r="N8" s="215"/>
      <c r="O8" s="220">
        <f t="shared" si="0"/>
        <v>222.8</v>
      </c>
      <c r="P8" s="215"/>
      <c r="Q8" s="215"/>
      <c r="R8" s="225">
        <f t="shared" si="1"/>
        <v>222.8</v>
      </c>
    </row>
    <row r="9" spans="1:18" x14ac:dyDescent="0.2">
      <c r="A9" s="216" t="s">
        <v>432</v>
      </c>
      <c r="B9" s="216" t="s">
        <v>25</v>
      </c>
      <c r="C9" s="222" t="s">
        <v>55</v>
      </c>
      <c r="D9" s="215" t="s">
        <v>55</v>
      </c>
      <c r="E9" s="214">
        <v>43621</v>
      </c>
      <c r="F9" s="214">
        <v>43623</v>
      </c>
      <c r="G9" s="224" t="s">
        <v>18</v>
      </c>
      <c r="H9" s="215"/>
      <c r="I9" s="215"/>
      <c r="J9" s="215">
        <f>148.12+196.87</f>
        <v>344.99</v>
      </c>
      <c r="K9" s="215"/>
      <c r="L9" s="215">
        <v>353.6</v>
      </c>
      <c r="M9" s="215"/>
      <c r="N9" s="215"/>
      <c r="O9" s="220">
        <f t="shared" si="0"/>
        <v>698.59</v>
      </c>
      <c r="P9" s="215"/>
      <c r="Q9" s="215"/>
      <c r="R9" s="225">
        <f t="shared" si="1"/>
        <v>698.59</v>
      </c>
    </row>
    <row r="10" spans="1:18" x14ac:dyDescent="0.2">
      <c r="A10" s="216" t="s">
        <v>741</v>
      </c>
      <c r="B10" s="216" t="s">
        <v>25</v>
      </c>
      <c r="C10" s="222" t="s">
        <v>55</v>
      </c>
      <c r="D10" s="215" t="s">
        <v>55</v>
      </c>
      <c r="E10" s="214">
        <v>43621</v>
      </c>
      <c r="F10" s="214">
        <v>43622</v>
      </c>
      <c r="G10" s="224" t="s">
        <v>18</v>
      </c>
      <c r="H10" s="215"/>
      <c r="I10" s="215"/>
      <c r="J10" s="215">
        <v>320.24</v>
      </c>
      <c r="K10" s="215"/>
      <c r="L10" s="215">
        <v>176.8</v>
      </c>
      <c r="M10" s="215"/>
      <c r="N10" s="215"/>
      <c r="O10" s="220">
        <f t="shared" si="0"/>
        <v>497.04</v>
      </c>
      <c r="P10" s="215"/>
      <c r="Q10" s="215"/>
      <c r="R10" s="225">
        <f t="shared" ref="R10:R16" si="2">SUM(O10:Q10)</f>
        <v>497.04</v>
      </c>
    </row>
    <row r="11" spans="1:18" x14ac:dyDescent="0.2">
      <c r="A11" s="216" t="s">
        <v>431</v>
      </c>
      <c r="B11" s="216" t="s">
        <v>25</v>
      </c>
      <c r="C11" s="222" t="s">
        <v>55</v>
      </c>
      <c r="D11" s="215" t="s">
        <v>55</v>
      </c>
      <c r="E11" s="214">
        <v>43621</v>
      </c>
      <c r="F11" s="214">
        <v>43621</v>
      </c>
      <c r="G11" s="224" t="s">
        <v>18</v>
      </c>
      <c r="H11" s="215"/>
      <c r="I11" s="215"/>
      <c r="J11" s="215">
        <v>221.12</v>
      </c>
      <c r="K11" s="224">
        <v>126.65</v>
      </c>
      <c r="L11" s="215"/>
      <c r="M11" s="215"/>
      <c r="N11" s="215"/>
      <c r="O11" s="220">
        <f>SUM(J11:N11)</f>
        <v>347.77</v>
      </c>
      <c r="P11" s="215"/>
      <c r="Q11" s="215"/>
      <c r="R11" s="225">
        <f t="shared" si="2"/>
        <v>347.77</v>
      </c>
    </row>
    <row r="12" spans="1:18" x14ac:dyDescent="0.2">
      <c r="A12" s="216" t="s">
        <v>323</v>
      </c>
      <c r="B12" s="216" t="s">
        <v>25</v>
      </c>
      <c r="C12" s="222" t="s">
        <v>55</v>
      </c>
      <c r="D12" s="215" t="s">
        <v>55</v>
      </c>
      <c r="E12" s="214">
        <v>43621</v>
      </c>
      <c r="F12" s="214">
        <v>43622</v>
      </c>
      <c r="G12" s="224" t="s">
        <v>18</v>
      </c>
      <c r="H12" s="215"/>
      <c r="I12" s="215"/>
      <c r="J12" s="215"/>
      <c r="K12" s="224">
        <v>36</v>
      </c>
      <c r="L12" s="215">
        <v>176.8</v>
      </c>
      <c r="M12" s="215"/>
      <c r="N12" s="215"/>
      <c r="O12" s="220">
        <f>SUM(J12:N12)</f>
        <v>212.8</v>
      </c>
      <c r="P12" s="215"/>
      <c r="Q12" s="215"/>
      <c r="R12" s="225">
        <f t="shared" si="2"/>
        <v>212.8</v>
      </c>
    </row>
    <row r="13" spans="1:18" x14ac:dyDescent="0.2">
      <c r="A13" s="216" t="s">
        <v>743</v>
      </c>
      <c r="B13" s="216" t="s">
        <v>25</v>
      </c>
      <c r="C13" s="222" t="s">
        <v>55</v>
      </c>
      <c r="D13" s="215" t="s">
        <v>55</v>
      </c>
      <c r="E13" s="214">
        <v>43621</v>
      </c>
      <c r="F13" s="214">
        <v>43622</v>
      </c>
      <c r="G13" s="224" t="s">
        <v>18</v>
      </c>
      <c r="H13" s="215"/>
      <c r="I13" s="215"/>
      <c r="J13" s="215"/>
      <c r="K13" s="215">
        <v>36</v>
      </c>
      <c r="L13" s="215">
        <v>176.8</v>
      </c>
      <c r="M13" s="215"/>
      <c r="N13" s="215"/>
      <c r="O13" s="220">
        <f t="shared" ref="O13:O15" si="3">SUM(J13:N13)</f>
        <v>212.8</v>
      </c>
      <c r="P13" s="215"/>
      <c r="Q13" s="215"/>
      <c r="R13" s="225">
        <f t="shared" si="2"/>
        <v>212.8</v>
      </c>
    </row>
    <row r="14" spans="1:18" x14ac:dyDescent="0.2">
      <c r="A14" s="216" t="s">
        <v>744</v>
      </c>
      <c r="B14" s="216" t="s">
        <v>25</v>
      </c>
      <c r="C14" s="222" t="s">
        <v>55</v>
      </c>
      <c r="D14" s="215" t="s">
        <v>55</v>
      </c>
      <c r="E14" s="214">
        <v>43621</v>
      </c>
      <c r="F14" s="214">
        <v>43622</v>
      </c>
      <c r="G14" s="224" t="s">
        <v>18</v>
      </c>
      <c r="H14" s="215"/>
      <c r="I14" s="215"/>
      <c r="J14" s="215"/>
      <c r="K14" s="215">
        <v>36</v>
      </c>
      <c r="L14" s="215">
        <v>176.8</v>
      </c>
      <c r="M14" s="215"/>
      <c r="N14" s="215"/>
      <c r="O14" s="220">
        <f t="shared" si="3"/>
        <v>212.8</v>
      </c>
      <c r="P14" s="215"/>
      <c r="Q14" s="215"/>
      <c r="R14" s="225">
        <f t="shared" si="2"/>
        <v>212.8</v>
      </c>
    </row>
    <row r="15" spans="1:18" x14ac:dyDescent="0.2">
      <c r="A15" s="216" t="s">
        <v>410</v>
      </c>
      <c r="B15" s="216" t="s">
        <v>25</v>
      </c>
      <c r="C15" s="222" t="s">
        <v>55</v>
      </c>
      <c r="D15" s="215" t="s">
        <v>55</v>
      </c>
      <c r="E15" s="214">
        <v>43621</v>
      </c>
      <c r="F15" s="214">
        <v>43622</v>
      </c>
      <c r="G15" s="224" t="s">
        <v>18</v>
      </c>
      <c r="H15" s="215"/>
      <c r="I15" s="215"/>
      <c r="J15" s="215"/>
      <c r="K15" s="215"/>
      <c r="L15" s="215">
        <v>176.8</v>
      </c>
      <c r="M15" s="215"/>
      <c r="N15" s="215"/>
      <c r="O15" s="220">
        <f t="shared" si="3"/>
        <v>176.8</v>
      </c>
      <c r="P15" s="215"/>
      <c r="Q15" s="215"/>
      <c r="R15" s="225">
        <f t="shared" si="2"/>
        <v>176.8</v>
      </c>
    </row>
    <row r="16" spans="1:18" x14ac:dyDescent="0.2">
      <c r="A16" s="216" t="s">
        <v>745</v>
      </c>
      <c r="B16" s="216" t="s">
        <v>25</v>
      </c>
      <c r="C16" s="222" t="s">
        <v>55</v>
      </c>
      <c r="D16" s="215" t="s">
        <v>55</v>
      </c>
      <c r="E16" s="214">
        <v>43621</v>
      </c>
      <c r="F16" s="214">
        <v>43622</v>
      </c>
      <c r="G16" s="224" t="s">
        <v>18</v>
      </c>
      <c r="H16" s="215"/>
      <c r="I16" s="215"/>
      <c r="J16" s="215"/>
      <c r="K16" s="215">
        <v>36</v>
      </c>
      <c r="L16" s="215">
        <v>176.8</v>
      </c>
      <c r="M16" s="215"/>
      <c r="N16" s="215"/>
      <c r="O16" s="220">
        <f t="shared" ref="O16" si="4">SUM(J16:N16)</f>
        <v>212.8</v>
      </c>
      <c r="P16" s="215"/>
      <c r="Q16" s="215"/>
      <c r="R16" s="225">
        <f t="shared" si="2"/>
        <v>212.8</v>
      </c>
    </row>
    <row r="17" spans="1:18" x14ac:dyDescent="0.2">
      <c r="O17"/>
    </row>
    <row r="18" spans="1:18" x14ac:dyDescent="0.2">
      <c r="O18"/>
    </row>
    <row r="19" spans="1:18" x14ac:dyDescent="0.2">
      <c r="O19"/>
    </row>
    <row r="20" spans="1:18" x14ac:dyDescent="0.2">
      <c r="O20"/>
    </row>
    <row r="21" spans="1:18" x14ac:dyDescent="0.2">
      <c r="O21"/>
    </row>
    <row r="22" spans="1:18" x14ac:dyDescent="0.2">
      <c r="A22" s="189"/>
      <c r="B22" s="189"/>
      <c r="C22" s="189"/>
      <c r="D22" s="189"/>
      <c r="E22" s="213"/>
      <c r="F22" s="213"/>
      <c r="G22" s="189"/>
      <c r="H22" s="189"/>
      <c r="I22" s="189"/>
      <c r="J22" s="189"/>
      <c r="K22" s="189"/>
      <c r="L22" s="189"/>
      <c r="M22" s="189"/>
      <c r="N22" s="189"/>
      <c r="P22" s="189"/>
      <c r="Q22" s="189"/>
      <c r="R22" s="189"/>
    </row>
    <row r="23" spans="1:18" x14ac:dyDescent="0.2">
      <c r="A23" s="189"/>
      <c r="B23" s="189"/>
      <c r="C23" s="189"/>
      <c r="D23" s="189"/>
      <c r="E23" s="213"/>
      <c r="F23" s="213"/>
      <c r="G23" s="189"/>
      <c r="H23" s="189"/>
      <c r="I23" s="189"/>
      <c r="J23" s="189"/>
      <c r="K23" s="189"/>
      <c r="L23" s="189"/>
      <c r="M23" s="189"/>
      <c r="N23" s="189"/>
      <c r="P23" s="189"/>
      <c r="Q23" s="189"/>
      <c r="R23" s="189"/>
    </row>
    <row r="24" spans="1:18" x14ac:dyDescent="0.2">
      <c r="A24" s="189"/>
      <c r="B24" s="189"/>
      <c r="C24" s="189"/>
      <c r="D24" s="189"/>
      <c r="E24" s="213"/>
      <c r="F24" s="213"/>
      <c r="G24" s="189"/>
      <c r="H24" s="189"/>
      <c r="I24" s="189"/>
      <c r="J24" s="189"/>
      <c r="K24" s="189"/>
      <c r="L24" s="189"/>
      <c r="M24" s="189"/>
      <c r="N24" s="189"/>
      <c r="P24" s="189"/>
      <c r="Q24" s="189"/>
      <c r="R24" s="189"/>
    </row>
    <row r="25" spans="1:18" x14ac:dyDescent="0.2">
      <c r="A25" s="189"/>
      <c r="B25" s="189"/>
      <c r="C25" s="189"/>
      <c r="D25" s="189"/>
      <c r="E25" s="213"/>
      <c r="F25" s="213"/>
      <c r="G25" s="189"/>
      <c r="H25" s="189"/>
      <c r="I25" s="189"/>
      <c r="J25" s="189"/>
      <c r="K25" s="189"/>
      <c r="L25" s="189"/>
      <c r="M25" s="189"/>
      <c r="N25" s="189"/>
      <c r="P25" s="189"/>
      <c r="Q25" s="189"/>
      <c r="R25" s="189"/>
    </row>
    <row r="26" spans="1:18" x14ac:dyDescent="0.2">
      <c r="A26" s="189"/>
      <c r="B26" s="189"/>
      <c r="C26" s="189"/>
      <c r="D26" s="189"/>
      <c r="E26" s="213"/>
      <c r="F26" s="213"/>
      <c r="G26" s="189"/>
      <c r="H26" s="189"/>
      <c r="I26" s="189"/>
      <c r="J26" s="189"/>
      <c r="K26" s="189"/>
      <c r="L26" s="189"/>
      <c r="M26" s="189"/>
      <c r="N26" s="189"/>
      <c r="P26" s="189"/>
      <c r="Q26" s="189"/>
      <c r="R26" s="189"/>
    </row>
    <row r="27" spans="1:18" x14ac:dyDescent="0.2">
      <c r="A27" s="189"/>
      <c r="B27" s="189"/>
      <c r="C27" s="189"/>
      <c r="D27" s="189"/>
      <c r="E27" s="213"/>
      <c r="F27" s="213"/>
      <c r="G27" s="189"/>
      <c r="H27" s="189"/>
      <c r="I27" s="189"/>
      <c r="J27" s="189"/>
      <c r="K27" s="189"/>
      <c r="L27" s="189"/>
      <c r="M27" s="189"/>
      <c r="N27" s="189"/>
      <c r="P27" s="189"/>
      <c r="Q27" s="189"/>
      <c r="R27" s="189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85A1-93B4-49F1-B3B9-E0DA51FCF2D1}">
  <dimension ref="A1:S15"/>
  <sheetViews>
    <sheetView topLeftCell="C12" workbookViewId="0">
      <selection activeCell="A12" sqref="A12:D12"/>
    </sheetView>
  </sheetViews>
  <sheetFormatPr defaultColWidth="9" defaultRowHeight="12.75" x14ac:dyDescent="0.2"/>
  <cols>
    <col min="1" max="1" width="17.125" style="189" bestFit="1" customWidth="1"/>
    <col min="2" max="2" width="19.75" style="189" bestFit="1" customWidth="1"/>
    <col min="3" max="3" width="31.25" style="189" customWidth="1"/>
    <col min="4" max="4" width="30.25" style="189" customWidth="1"/>
    <col min="5" max="6" width="10.125" style="189" bestFit="1" customWidth="1"/>
    <col min="7" max="7" width="10.875" style="189" bestFit="1" customWidth="1"/>
    <col min="8" max="9" width="9" style="189"/>
    <col min="10" max="10" width="9.125" style="189" bestFit="1" customWidth="1"/>
    <col min="11" max="11" width="9" style="189"/>
    <col min="12" max="12" width="13.125" style="189" customWidth="1"/>
    <col min="13" max="14" width="9" style="189"/>
    <col min="15" max="15" width="9.125" style="189" bestFit="1" customWidth="1"/>
    <col min="16" max="17" width="9" style="189"/>
    <col min="18" max="18" width="9.125" style="189" bestFit="1" customWidth="1"/>
    <col min="19" max="16384" width="9" style="189"/>
  </cols>
  <sheetData>
    <row r="1" spans="1:19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211" t="s">
        <v>5</v>
      </c>
      <c r="F1" s="211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9" ht="30.75" customHeight="1" x14ac:dyDescent="0.2">
      <c r="A2" s="179" t="s">
        <v>576</v>
      </c>
      <c r="B2" s="179" t="s">
        <v>21</v>
      </c>
      <c r="C2" s="180" t="s">
        <v>409</v>
      </c>
      <c r="D2" s="181" t="s">
        <v>746</v>
      </c>
      <c r="E2" s="226">
        <v>43693</v>
      </c>
      <c r="F2" s="226">
        <v>43694</v>
      </c>
      <c r="G2" s="183" t="s">
        <v>118</v>
      </c>
      <c r="H2" s="190"/>
      <c r="I2" s="190"/>
      <c r="J2" s="190">
        <v>341.25</v>
      </c>
      <c r="K2" s="190">
        <f>47.2+58.41</f>
        <v>105.61</v>
      </c>
      <c r="L2" s="190">
        <v>133.12</v>
      </c>
      <c r="M2" s="190">
        <v>68.58</v>
      </c>
      <c r="N2" s="190"/>
      <c r="O2" s="188">
        <f>SUM(J2:N2)</f>
        <v>648.56000000000006</v>
      </c>
      <c r="P2" s="190"/>
      <c r="Q2" s="190"/>
      <c r="R2" s="188">
        <f>SUM(O2:Q2)</f>
        <v>648.56000000000006</v>
      </c>
    </row>
    <row r="3" spans="1:19" s="208" customFormat="1" ht="25.5" x14ac:dyDescent="0.2">
      <c r="A3" s="201" t="s">
        <v>389</v>
      </c>
      <c r="B3" s="181" t="s">
        <v>34</v>
      </c>
      <c r="C3" s="180" t="s">
        <v>409</v>
      </c>
      <c r="D3" s="181" t="s">
        <v>747</v>
      </c>
      <c r="E3" s="226">
        <v>43692</v>
      </c>
      <c r="F3" s="226">
        <v>43692</v>
      </c>
      <c r="G3" s="183" t="s">
        <v>47</v>
      </c>
      <c r="H3" s="184"/>
      <c r="I3" s="185"/>
      <c r="J3" s="186">
        <f>469.24+32</f>
        <v>501.24</v>
      </c>
      <c r="K3" s="187">
        <f>69.84</f>
        <v>69.84</v>
      </c>
      <c r="L3" s="186"/>
      <c r="M3" s="186"/>
      <c r="N3" s="186"/>
      <c r="O3" s="188">
        <f>SUM(J3:N3)</f>
        <v>571.08000000000004</v>
      </c>
      <c r="P3" s="186"/>
      <c r="Q3" s="186"/>
      <c r="R3" s="188">
        <f t="shared" ref="R3" si="0">SUM(O3:Q3)</f>
        <v>571.08000000000004</v>
      </c>
      <c r="S3" s="227"/>
    </row>
    <row r="4" spans="1:19" s="208" customFormat="1" ht="25.5" x14ac:dyDescent="0.2">
      <c r="A4" s="201" t="s">
        <v>389</v>
      </c>
      <c r="B4" s="181" t="s">
        <v>34</v>
      </c>
      <c r="C4" s="180" t="s">
        <v>409</v>
      </c>
      <c r="D4" s="181" t="s">
        <v>748</v>
      </c>
      <c r="E4" s="226">
        <v>43692</v>
      </c>
      <c r="F4" s="226">
        <v>43692</v>
      </c>
      <c r="G4" s="183" t="s">
        <v>35</v>
      </c>
      <c r="H4" s="184"/>
      <c r="I4" s="185"/>
      <c r="J4" s="186"/>
      <c r="K4" s="187">
        <f>7.15+30.48</f>
        <v>37.630000000000003</v>
      </c>
      <c r="L4" s="186"/>
      <c r="M4" s="186"/>
      <c r="N4" s="186"/>
      <c r="O4" s="188">
        <f>SUM(J4:N4)</f>
        <v>37.630000000000003</v>
      </c>
      <c r="P4" s="186"/>
      <c r="Q4" s="186"/>
      <c r="R4" s="188">
        <f t="shared" ref="R4" si="1">SUM(O4:Q4)</f>
        <v>37.630000000000003</v>
      </c>
      <c r="S4" s="227"/>
    </row>
    <row r="5" spans="1:19" x14ac:dyDescent="0.2">
      <c r="A5" s="179" t="s">
        <v>410</v>
      </c>
      <c r="B5" s="179" t="s">
        <v>25</v>
      </c>
      <c r="C5" s="180" t="s">
        <v>55</v>
      </c>
      <c r="D5" s="190" t="s">
        <v>55</v>
      </c>
      <c r="E5" s="228">
        <v>43727</v>
      </c>
      <c r="F5" s="228">
        <v>43727</v>
      </c>
      <c r="G5" s="201" t="s">
        <v>18</v>
      </c>
      <c r="H5" s="190"/>
      <c r="I5" s="190"/>
      <c r="J5" s="190"/>
      <c r="K5" s="190">
        <v>23</v>
      </c>
      <c r="L5" s="190"/>
      <c r="M5" s="190"/>
      <c r="N5" s="190"/>
      <c r="O5" s="188">
        <f t="shared" ref="O5" si="2">SUM(J5:N5)</f>
        <v>23</v>
      </c>
      <c r="P5" s="190"/>
      <c r="Q5" s="190"/>
      <c r="R5" s="229">
        <f t="shared" ref="R5" si="3">SUM(O5:Q5)</f>
        <v>23</v>
      </c>
    </row>
    <row r="6" spans="1:19" ht="30.75" customHeight="1" x14ac:dyDescent="0.2">
      <c r="A6" s="179" t="s">
        <v>576</v>
      </c>
      <c r="B6" s="179" t="s">
        <v>21</v>
      </c>
      <c r="C6" s="180" t="s">
        <v>302</v>
      </c>
      <c r="D6" s="181" t="s">
        <v>749</v>
      </c>
      <c r="E6" s="226">
        <v>40713</v>
      </c>
      <c r="F6" s="226">
        <v>40713</v>
      </c>
      <c r="G6" s="183" t="s">
        <v>646</v>
      </c>
      <c r="H6" s="190"/>
      <c r="I6" s="190"/>
      <c r="J6" s="190"/>
      <c r="K6" s="190">
        <v>36.4</v>
      </c>
      <c r="L6" s="190"/>
      <c r="M6" s="190"/>
      <c r="N6" s="190"/>
      <c r="O6" s="188">
        <f>SUM(J6:N6)</f>
        <v>36.4</v>
      </c>
      <c r="P6" s="190"/>
      <c r="Q6" s="190"/>
      <c r="R6" s="188">
        <f>SUM(O6:Q6)</f>
        <v>36.4</v>
      </c>
    </row>
    <row r="7" spans="1:19" ht="30.75" customHeight="1" x14ac:dyDescent="0.2">
      <c r="A7" s="179" t="s">
        <v>576</v>
      </c>
      <c r="B7" s="179" t="s">
        <v>21</v>
      </c>
      <c r="C7" s="180" t="s">
        <v>409</v>
      </c>
      <c r="D7" s="181" t="s">
        <v>750</v>
      </c>
      <c r="E7" s="226">
        <v>43696</v>
      </c>
      <c r="F7" s="226">
        <v>43697</v>
      </c>
      <c r="G7" s="183" t="s">
        <v>251</v>
      </c>
      <c r="H7" s="190"/>
      <c r="I7" s="190"/>
      <c r="J7" s="190"/>
      <c r="K7" s="190">
        <f>134.4+134.4</f>
        <v>268.8</v>
      </c>
      <c r="L7" s="190">
        <v>30</v>
      </c>
      <c r="M7" s="190">
        <f>19.91+8.85+11.06+19.91</f>
        <v>59.730000000000004</v>
      </c>
      <c r="N7" s="190"/>
      <c r="O7" s="188">
        <f>SUM(J7:N7)</f>
        <v>358.53000000000003</v>
      </c>
      <c r="P7" s="190"/>
      <c r="Q7" s="190"/>
      <c r="R7" s="188">
        <f>SUM(O7:Q7)</f>
        <v>358.53000000000003</v>
      </c>
    </row>
    <row r="8" spans="1:19" ht="30.75" customHeight="1" x14ac:dyDescent="0.2">
      <c r="A8" s="179" t="s">
        <v>576</v>
      </c>
      <c r="B8" s="179" t="s">
        <v>21</v>
      </c>
      <c r="C8" s="180" t="s">
        <v>409</v>
      </c>
      <c r="D8" s="181" t="s">
        <v>751</v>
      </c>
      <c r="E8" s="226">
        <v>43699</v>
      </c>
      <c r="F8" s="226">
        <v>43699</v>
      </c>
      <c r="G8" s="183" t="s">
        <v>22</v>
      </c>
      <c r="H8" s="190"/>
      <c r="I8" s="190"/>
      <c r="J8" s="190"/>
      <c r="K8" s="190">
        <v>17.600000000000001</v>
      </c>
      <c r="L8" s="190"/>
      <c r="M8" s="190"/>
      <c r="N8" s="190"/>
      <c r="O8" s="188">
        <f>SUM(J8:N8)</f>
        <v>17.600000000000001</v>
      </c>
      <c r="P8" s="190"/>
      <c r="Q8" s="190"/>
      <c r="R8" s="188">
        <f>SUM(O8:Q8)</f>
        <v>17.600000000000001</v>
      </c>
    </row>
    <row r="9" spans="1:19" ht="30.75" customHeight="1" x14ac:dyDescent="0.2">
      <c r="A9" s="179" t="s">
        <v>576</v>
      </c>
      <c r="B9" s="179" t="s">
        <v>21</v>
      </c>
      <c r="C9" s="180" t="s">
        <v>409</v>
      </c>
      <c r="D9" s="181" t="s">
        <v>752</v>
      </c>
      <c r="E9" s="226">
        <v>43706</v>
      </c>
      <c r="F9" s="226">
        <v>43706</v>
      </c>
      <c r="G9" s="183" t="s">
        <v>166</v>
      </c>
      <c r="H9" s="190"/>
      <c r="I9" s="190"/>
      <c r="J9" s="190"/>
      <c r="K9" s="190">
        <v>104.8</v>
      </c>
      <c r="L9" s="190"/>
      <c r="M9" s="190"/>
      <c r="N9" s="190"/>
      <c r="O9" s="188">
        <f>SUM(J9:N9)</f>
        <v>104.8</v>
      </c>
      <c r="P9" s="190"/>
      <c r="Q9" s="190"/>
      <c r="R9" s="188">
        <f>SUM(O9:Q9)</f>
        <v>104.8</v>
      </c>
    </row>
    <row r="10" spans="1:19" x14ac:dyDescent="0.2">
      <c r="A10" s="179" t="s">
        <v>753</v>
      </c>
      <c r="B10" s="179" t="s">
        <v>25</v>
      </c>
      <c r="C10" s="180" t="s">
        <v>55</v>
      </c>
      <c r="D10" s="180" t="s">
        <v>55</v>
      </c>
      <c r="E10" s="228">
        <v>43726</v>
      </c>
      <c r="F10" s="228">
        <v>43727</v>
      </c>
      <c r="G10" s="201" t="s">
        <v>18</v>
      </c>
      <c r="H10" s="190"/>
      <c r="I10" s="190"/>
      <c r="J10" s="190"/>
      <c r="K10" s="201">
        <v>92</v>
      </c>
      <c r="L10" s="190">
        <f>476.27-252.68</f>
        <v>223.58999999999997</v>
      </c>
      <c r="M10" s="190"/>
      <c r="N10" s="190"/>
      <c r="O10" s="188">
        <f t="shared" ref="O10:O12" si="4">SUM(J10:N10)</f>
        <v>315.58999999999997</v>
      </c>
      <c r="P10" s="190"/>
      <c r="Q10" s="190"/>
      <c r="R10" s="188">
        <f t="shared" ref="R10:R15" si="5">SUM(O10:Q10)</f>
        <v>315.58999999999997</v>
      </c>
    </row>
    <row r="11" spans="1:19" x14ac:dyDescent="0.2">
      <c r="A11" s="179" t="s">
        <v>126</v>
      </c>
      <c r="B11" s="179" t="s">
        <v>25</v>
      </c>
      <c r="C11" s="180" t="s">
        <v>55</v>
      </c>
      <c r="D11" s="190" t="s">
        <v>55</v>
      </c>
      <c r="E11" s="228">
        <v>43726</v>
      </c>
      <c r="F11" s="228">
        <v>43727</v>
      </c>
      <c r="G11" s="201" t="s">
        <v>18</v>
      </c>
      <c r="H11" s="190"/>
      <c r="I11" s="190"/>
      <c r="J11" s="190">
        <v>625.24</v>
      </c>
      <c r="K11" s="190"/>
      <c r="L11" s="190">
        <v>258.95999999999998</v>
      </c>
      <c r="M11" s="190"/>
      <c r="N11" s="190"/>
      <c r="O11" s="188">
        <f t="shared" si="4"/>
        <v>884.2</v>
      </c>
      <c r="P11" s="190"/>
      <c r="Q11" s="190"/>
      <c r="R11" s="188">
        <f t="shared" si="5"/>
        <v>884.2</v>
      </c>
    </row>
    <row r="12" spans="1:19" x14ac:dyDescent="0.2">
      <c r="A12" s="179" t="s">
        <v>740</v>
      </c>
      <c r="B12" s="179" t="s">
        <v>25</v>
      </c>
      <c r="C12" s="180" t="s">
        <v>55</v>
      </c>
      <c r="D12" s="190" t="s">
        <v>55</v>
      </c>
      <c r="E12" s="228">
        <v>43726</v>
      </c>
      <c r="F12" s="228">
        <v>43727</v>
      </c>
      <c r="G12" s="201" t="s">
        <v>18</v>
      </c>
      <c r="H12" s="190"/>
      <c r="I12" s="190"/>
      <c r="J12" s="190"/>
      <c r="K12" s="190">
        <v>46</v>
      </c>
      <c r="L12" s="190">
        <v>258.95999999999998</v>
      </c>
      <c r="M12" s="190"/>
      <c r="N12" s="190"/>
      <c r="O12" s="188">
        <f t="shared" si="4"/>
        <v>304.95999999999998</v>
      </c>
      <c r="P12" s="190"/>
      <c r="Q12" s="190"/>
      <c r="R12" s="188">
        <f t="shared" si="5"/>
        <v>304.95999999999998</v>
      </c>
    </row>
    <row r="13" spans="1:19" x14ac:dyDescent="0.2">
      <c r="A13" s="179" t="s">
        <v>745</v>
      </c>
      <c r="B13" s="179" t="s">
        <v>25</v>
      </c>
      <c r="C13" s="180" t="s">
        <v>55</v>
      </c>
      <c r="D13" s="190" t="s">
        <v>55</v>
      </c>
      <c r="E13" s="228">
        <v>43726</v>
      </c>
      <c r="F13" s="228">
        <v>43727</v>
      </c>
      <c r="G13" s="201" t="s">
        <v>18</v>
      </c>
      <c r="H13" s="190"/>
      <c r="I13" s="190"/>
      <c r="J13" s="190"/>
      <c r="K13" s="201"/>
      <c r="L13" s="190">
        <v>258.95999999999998</v>
      </c>
      <c r="M13" s="190"/>
      <c r="N13" s="190"/>
      <c r="O13" s="188">
        <f>SUM(J13:N13)</f>
        <v>258.95999999999998</v>
      </c>
      <c r="P13" s="190"/>
      <c r="Q13" s="190"/>
      <c r="R13" s="188">
        <f t="shared" si="5"/>
        <v>258.95999999999998</v>
      </c>
    </row>
    <row r="14" spans="1:19" x14ac:dyDescent="0.2">
      <c r="A14" s="179" t="s">
        <v>744</v>
      </c>
      <c r="B14" s="179" t="s">
        <v>25</v>
      </c>
      <c r="C14" s="180" t="s">
        <v>55</v>
      </c>
      <c r="D14" s="190" t="s">
        <v>55</v>
      </c>
      <c r="E14" s="228">
        <v>43726</v>
      </c>
      <c r="F14" s="228">
        <v>43727</v>
      </c>
      <c r="G14" s="201" t="s">
        <v>18</v>
      </c>
      <c r="H14" s="190"/>
      <c r="I14" s="190"/>
      <c r="J14" s="190"/>
      <c r="K14" s="201"/>
      <c r="L14" s="190">
        <v>258.95999999999998</v>
      </c>
      <c r="M14" s="190"/>
      <c r="N14" s="190"/>
      <c r="O14" s="188">
        <f>SUM(J14:N14)</f>
        <v>258.95999999999998</v>
      </c>
      <c r="P14" s="190"/>
      <c r="Q14" s="190"/>
      <c r="R14" s="188">
        <f t="shared" si="5"/>
        <v>258.95999999999998</v>
      </c>
    </row>
    <row r="15" spans="1:19" x14ac:dyDescent="0.2">
      <c r="A15" s="179" t="s">
        <v>741</v>
      </c>
      <c r="B15" s="179" t="s">
        <v>25</v>
      </c>
      <c r="C15" s="180" t="s">
        <v>55</v>
      </c>
      <c r="D15" s="190" t="s">
        <v>55</v>
      </c>
      <c r="E15" s="228">
        <v>43726</v>
      </c>
      <c r="F15" s="228">
        <v>43727</v>
      </c>
      <c r="G15" s="201" t="s">
        <v>18</v>
      </c>
      <c r="H15" s="190"/>
      <c r="I15" s="190"/>
      <c r="J15" s="190">
        <f>478.24+116</f>
        <v>594.24</v>
      </c>
      <c r="K15" s="190"/>
      <c r="L15" s="190">
        <v>258.95999999999998</v>
      </c>
      <c r="M15" s="190"/>
      <c r="N15" s="190"/>
      <c r="O15" s="188">
        <f t="shared" ref="O15" si="6">SUM(J15:N15)</f>
        <v>853.2</v>
      </c>
      <c r="P15" s="190"/>
      <c r="Q15" s="190"/>
      <c r="R15" s="188">
        <f t="shared" si="5"/>
        <v>853.2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4BE8-FE00-47B3-A12C-A014B6466A5A}">
  <sheetPr>
    <pageSetUpPr fitToPage="1"/>
  </sheetPr>
  <dimension ref="A1:R90"/>
  <sheetViews>
    <sheetView topLeftCell="B85" workbookViewId="0">
      <selection activeCell="D88" sqref="D88"/>
    </sheetView>
  </sheetViews>
  <sheetFormatPr defaultRowHeight="14.25" x14ac:dyDescent="0.2"/>
  <cols>
    <col min="1" max="1" width="14.125" bestFit="1" customWidth="1"/>
    <col min="2" max="2" width="11.75" bestFit="1" customWidth="1"/>
    <col min="3" max="3" width="23.75" bestFit="1" customWidth="1"/>
    <col min="4" max="4" width="31.125" bestFit="1" customWidth="1"/>
    <col min="5" max="5" width="11.75" bestFit="1" customWidth="1"/>
    <col min="6" max="6" width="11.375" bestFit="1" customWidth="1"/>
    <col min="7" max="7" width="17.75" customWidth="1"/>
    <col min="8" max="9" width="8.25" bestFit="1" customWidth="1"/>
    <col min="10" max="10" width="7.25" bestFit="1" customWidth="1"/>
    <col min="11" max="11" width="11.375" bestFit="1" customWidth="1"/>
    <col min="12" max="12" width="12.5" bestFit="1" customWidth="1"/>
    <col min="13" max="13" width="5.25" bestFit="1" customWidth="1"/>
    <col min="14" max="14" width="8.625" bestFit="1" customWidth="1"/>
    <col min="15" max="16" width="8.5" bestFit="1" customWidth="1"/>
    <col min="17" max="17" width="8.125" bestFit="1" customWidth="1"/>
    <col min="18" max="18" width="8" bestFit="1" customWidth="1"/>
  </cols>
  <sheetData>
    <row r="1" spans="1:18" s="189" customFormat="1" ht="38.25" x14ac:dyDescent="0.2">
      <c r="A1" s="193" t="s">
        <v>0</v>
      </c>
      <c r="B1" s="193" t="s">
        <v>3</v>
      </c>
      <c r="C1" s="193" t="s">
        <v>4</v>
      </c>
      <c r="D1" s="194" t="s">
        <v>28</v>
      </c>
      <c r="E1" s="211" t="s">
        <v>5</v>
      </c>
      <c r="F1" s="211" t="s">
        <v>6</v>
      </c>
      <c r="G1" s="193" t="s">
        <v>7</v>
      </c>
      <c r="H1" s="193" t="s">
        <v>8</v>
      </c>
      <c r="I1" s="193" t="s">
        <v>9</v>
      </c>
      <c r="J1" s="196" t="s">
        <v>10</v>
      </c>
      <c r="K1" s="196" t="s">
        <v>11</v>
      </c>
      <c r="L1" s="196" t="s">
        <v>26</v>
      </c>
      <c r="M1" s="193" t="s">
        <v>12</v>
      </c>
      <c r="N1" s="193" t="s">
        <v>13</v>
      </c>
      <c r="O1" s="193" t="s">
        <v>14</v>
      </c>
      <c r="P1" s="193" t="s">
        <v>15</v>
      </c>
      <c r="Q1" s="193" t="s">
        <v>16</v>
      </c>
      <c r="R1" s="193" t="s">
        <v>17</v>
      </c>
    </row>
    <row r="2" spans="1:18" s="189" customFormat="1" ht="12.75" x14ac:dyDescent="0.2">
      <c r="A2" s="179" t="s">
        <v>741</v>
      </c>
      <c r="B2" s="179" t="s">
        <v>25</v>
      </c>
      <c r="C2" s="180" t="s">
        <v>55</v>
      </c>
      <c r="D2" s="190" t="s">
        <v>55</v>
      </c>
      <c r="E2" s="228" t="s">
        <v>754</v>
      </c>
      <c r="F2" s="228" t="s">
        <v>755</v>
      </c>
      <c r="G2" s="201" t="s">
        <v>18</v>
      </c>
      <c r="H2" s="190"/>
      <c r="I2" s="190"/>
      <c r="J2" s="190">
        <v>444.24</v>
      </c>
      <c r="K2" s="190"/>
      <c r="L2" s="190"/>
      <c r="M2" s="190"/>
      <c r="N2" s="190"/>
      <c r="O2" s="188">
        <f>SUM(J2:N2)</f>
        <v>444.24</v>
      </c>
      <c r="P2" s="190"/>
      <c r="Q2" s="190"/>
      <c r="R2" s="188">
        <f>SUM(O2:Q2)</f>
        <v>444.24</v>
      </c>
    </row>
    <row r="3" spans="1:18" s="189" customFormat="1" ht="12.75" x14ac:dyDescent="0.2">
      <c r="A3" s="179" t="s">
        <v>126</v>
      </c>
      <c r="B3" s="179" t="s">
        <v>25</v>
      </c>
      <c r="C3" s="180" t="s">
        <v>55</v>
      </c>
      <c r="D3" s="190" t="s">
        <v>55</v>
      </c>
      <c r="E3" s="228" t="s">
        <v>754</v>
      </c>
      <c r="F3" s="228" t="s">
        <v>755</v>
      </c>
      <c r="G3" s="201" t="s">
        <v>18</v>
      </c>
      <c r="H3" s="190"/>
      <c r="I3" s="190"/>
      <c r="J3" s="190">
        <v>685.24</v>
      </c>
      <c r="K3" s="190"/>
      <c r="L3" s="190"/>
      <c r="M3" s="190"/>
      <c r="N3" s="190"/>
      <c r="O3" s="188">
        <f t="shared" ref="O3:O89" si="0">SUM(J3:N3)</f>
        <v>685.24</v>
      </c>
      <c r="P3" s="190"/>
      <c r="Q3" s="190"/>
      <c r="R3" s="188">
        <f t="shared" ref="R3:R89" si="1">SUM(O3:Q3)</f>
        <v>685.24</v>
      </c>
    </row>
    <row r="4" spans="1:18" s="189" customFormat="1" ht="12.75" x14ac:dyDescent="0.2">
      <c r="A4" s="179" t="s">
        <v>740</v>
      </c>
      <c r="B4" s="179" t="s">
        <v>25</v>
      </c>
      <c r="C4" s="180" t="s">
        <v>55</v>
      </c>
      <c r="D4" s="190" t="s">
        <v>55</v>
      </c>
      <c r="E4" s="228" t="s">
        <v>754</v>
      </c>
      <c r="F4" s="228" t="s">
        <v>755</v>
      </c>
      <c r="G4" s="201" t="s">
        <v>18</v>
      </c>
      <c r="H4" s="190"/>
      <c r="I4" s="190"/>
      <c r="J4" s="190"/>
      <c r="K4" s="190">
        <v>46</v>
      </c>
      <c r="L4" s="190"/>
      <c r="M4" s="190"/>
      <c r="N4" s="190"/>
      <c r="O4" s="188">
        <f t="shared" si="0"/>
        <v>46</v>
      </c>
      <c r="P4" s="190"/>
      <c r="Q4" s="190"/>
      <c r="R4" s="188">
        <f t="shared" si="1"/>
        <v>46</v>
      </c>
    </row>
    <row r="5" spans="1:18" s="189" customFormat="1" ht="12.75" x14ac:dyDescent="0.2">
      <c r="A5" s="179" t="s">
        <v>410</v>
      </c>
      <c r="B5" s="179" t="s">
        <v>25</v>
      </c>
      <c r="C5" s="180" t="s">
        <v>55</v>
      </c>
      <c r="D5" s="190" t="s">
        <v>55</v>
      </c>
      <c r="E5" s="228" t="s">
        <v>754</v>
      </c>
      <c r="F5" s="228" t="s">
        <v>755</v>
      </c>
      <c r="G5" s="201" t="s">
        <v>18</v>
      </c>
      <c r="H5" s="190"/>
      <c r="I5" s="190"/>
      <c r="J5" s="190"/>
      <c r="K5" s="190">
        <v>92</v>
      </c>
      <c r="L5" s="190"/>
      <c r="M5" s="190"/>
      <c r="N5" s="190"/>
      <c r="O5" s="188">
        <f t="shared" si="0"/>
        <v>92</v>
      </c>
      <c r="P5" s="190"/>
      <c r="Q5" s="190"/>
      <c r="R5" s="188">
        <f t="shared" si="1"/>
        <v>92</v>
      </c>
    </row>
    <row r="6" spans="1:18" ht="24" x14ac:dyDescent="0.2">
      <c r="A6" s="179" t="s">
        <v>760</v>
      </c>
      <c r="B6" s="179" t="s">
        <v>833</v>
      </c>
      <c r="C6" s="8" t="s">
        <v>218</v>
      </c>
      <c r="D6" s="201" t="s">
        <v>834</v>
      </c>
      <c r="E6" s="230" t="s">
        <v>761</v>
      </c>
      <c r="F6" s="230" t="s">
        <v>761</v>
      </c>
      <c r="G6" s="234" t="s">
        <v>787</v>
      </c>
      <c r="H6" s="231"/>
      <c r="I6" s="231"/>
      <c r="J6" s="231"/>
      <c r="K6" s="237">
        <v>42.24</v>
      </c>
      <c r="L6" s="231"/>
      <c r="M6" s="231"/>
      <c r="N6" s="231"/>
      <c r="O6" s="188">
        <f t="shared" ref="O6" si="2">SUM(J6:N6)</f>
        <v>42.24</v>
      </c>
      <c r="P6" s="231"/>
      <c r="Q6" s="231"/>
      <c r="R6" s="188">
        <f t="shared" ref="R6" si="3">SUM(O6:Q6)</f>
        <v>42.24</v>
      </c>
    </row>
    <row r="7" spans="1:18" ht="24" x14ac:dyDescent="0.2">
      <c r="A7" s="179" t="s">
        <v>760</v>
      </c>
      <c r="B7" s="179" t="s">
        <v>833</v>
      </c>
      <c r="C7" s="8" t="s">
        <v>218</v>
      </c>
      <c r="D7" s="201" t="s">
        <v>834</v>
      </c>
      <c r="E7" s="230" t="s">
        <v>835</v>
      </c>
      <c r="F7" s="230" t="s">
        <v>835</v>
      </c>
      <c r="G7" s="234" t="s">
        <v>787</v>
      </c>
      <c r="H7" s="231"/>
      <c r="I7" s="231"/>
      <c r="J7" s="231"/>
      <c r="K7" s="237">
        <v>49.04</v>
      </c>
      <c r="L7" s="231"/>
      <c r="M7" s="231"/>
      <c r="N7" s="231"/>
      <c r="O7" s="188">
        <f t="shared" ref="O7" si="4">SUM(J7:N7)</f>
        <v>49.04</v>
      </c>
      <c r="P7" s="231"/>
      <c r="Q7" s="231"/>
      <c r="R7" s="188">
        <f t="shared" ref="R7" si="5">SUM(O7:Q7)</f>
        <v>49.04</v>
      </c>
    </row>
    <row r="8" spans="1:18" ht="24" x14ac:dyDescent="0.2">
      <c r="A8" s="179" t="s">
        <v>760</v>
      </c>
      <c r="B8" s="179" t="s">
        <v>833</v>
      </c>
      <c r="C8" s="8" t="s">
        <v>218</v>
      </c>
      <c r="D8" s="201" t="s">
        <v>834</v>
      </c>
      <c r="E8" s="230" t="s">
        <v>836</v>
      </c>
      <c r="F8" s="230" t="s">
        <v>836</v>
      </c>
      <c r="G8" s="234" t="s">
        <v>787</v>
      </c>
      <c r="H8" s="231"/>
      <c r="I8" s="231"/>
      <c r="J8" s="231"/>
      <c r="K8" s="237">
        <v>26.16</v>
      </c>
      <c r="L8" s="231"/>
      <c r="M8" s="231"/>
      <c r="N8" s="231"/>
      <c r="O8" s="188">
        <f t="shared" ref="O8" si="6">SUM(J8:N8)</f>
        <v>26.16</v>
      </c>
      <c r="P8" s="231"/>
      <c r="Q8" s="231"/>
      <c r="R8" s="188">
        <f t="shared" ref="R8" si="7">SUM(O8:Q8)</f>
        <v>26.16</v>
      </c>
    </row>
    <row r="9" spans="1:18" ht="24" x14ac:dyDescent="0.2">
      <c r="A9" s="179" t="s">
        <v>760</v>
      </c>
      <c r="B9" s="179" t="s">
        <v>833</v>
      </c>
      <c r="C9" s="8" t="s">
        <v>218</v>
      </c>
      <c r="D9" s="201" t="s">
        <v>834</v>
      </c>
      <c r="E9" s="230" t="s">
        <v>837</v>
      </c>
      <c r="F9" s="230" t="s">
        <v>837</v>
      </c>
      <c r="G9" s="234" t="s">
        <v>787</v>
      </c>
      <c r="H9" s="231"/>
      <c r="I9" s="231"/>
      <c r="J9" s="231"/>
      <c r="K9" s="237">
        <v>47.44</v>
      </c>
      <c r="L9" s="231"/>
      <c r="M9" s="231"/>
      <c r="N9" s="231"/>
      <c r="O9" s="188">
        <f t="shared" ref="O9" si="8">SUM(J9:N9)</f>
        <v>47.44</v>
      </c>
      <c r="P9" s="231"/>
      <c r="Q9" s="231"/>
      <c r="R9" s="188">
        <f t="shared" ref="R9" si="9">SUM(O9:Q9)</f>
        <v>47.44</v>
      </c>
    </row>
    <row r="10" spans="1:18" ht="24" x14ac:dyDescent="0.2">
      <c r="A10" s="179" t="s">
        <v>760</v>
      </c>
      <c r="B10" s="179" t="s">
        <v>833</v>
      </c>
      <c r="C10" s="8" t="s">
        <v>218</v>
      </c>
      <c r="D10" s="201" t="s">
        <v>834</v>
      </c>
      <c r="E10" s="230" t="s">
        <v>838</v>
      </c>
      <c r="F10" s="230" t="s">
        <v>838</v>
      </c>
      <c r="G10" s="234" t="s">
        <v>787</v>
      </c>
      <c r="H10" s="231"/>
      <c r="I10" s="231"/>
      <c r="J10" s="231"/>
      <c r="K10" s="237">
        <v>65.92</v>
      </c>
      <c r="L10" s="231"/>
      <c r="M10" s="231"/>
      <c r="N10" s="231"/>
      <c r="O10" s="188">
        <f t="shared" ref="O10" si="10">SUM(J10:N10)</f>
        <v>65.92</v>
      </c>
      <c r="P10" s="231"/>
      <c r="Q10" s="231"/>
      <c r="R10" s="188">
        <f t="shared" ref="R10" si="11">SUM(O10:Q10)</f>
        <v>65.92</v>
      </c>
    </row>
    <row r="11" spans="1:18" ht="24" x14ac:dyDescent="0.2">
      <c r="A11" s="179" t="s">
        <v>760</v>
      </c>
      <c r="B11" s="179" t="s">
        <v>833</v>
      </c>
      <c r="C11" s="8" t="s">
        <v>218</v>
      </c>
      <c r="D11" s="201" t="s">
        <v>834</v>
      </c>
      <c r="E11" s="230" t="s">
        <v>839</v>
      </c>
      <c r="F11" s="230" t="s">
        <v>839</v>
      </c>
      <c r="G11" s="234" t="s">
        <v>787</v>
      </c>
      <c r="H11" s="231"/>
      <c r="I11" s="231"/>
      <c r="J11" s="231"/>
      <c r="K11" s="237">
        <v>49.04</v>
      </c>
      <c r="L11" s="231"/>
      <c r="M11" s="231"/>
      <c r="N11" s="231"/>
      <c r="O11" s="188">
        <f t="shared" ref="O11" si="12">SUM(J11:N11)</f>
        <v>49.04</v>
      </c>
      <c r="P11" s="231"/>
      <c r="Q11" s="231"/>
      <c r="R11" s="188">
        <f t="shared" ref="R11" si="13">SUM(O11:Q11)</f>
        <v>49.04</v>
      </c>
    </row>
    <row r="12" spans="1:18" ht="25.5" x14ac:dyDescent="0.2">
      <c r="A12" s="179" t="s">
        <v>760</v>
      </c>
      <c r="B12" s="179" t="s">
        <v>833</v>
      </c>
      <c r="C12" s="180" t="s">
        <v>840</v>
      </c>
      <c r="D12" s="201" t="s">
        <v>310</v>
      </c>
      <c r="E12" s="230" t="s">
        <v>766</v>
      </c>
      <c r="F12" s="230" t="s">
        <v>766</v>
      </c>
      <c r="G12" s="234" t="s">
        <v>787</v>
      </c>
      <c r="H12" s="231"/>
      <c r="I12" s="231"/>
      <c r="J12" s="231"/>
      <c r="K12" s="237">
        <v>76.72</v>
      </c>
      <c r="L12" s="231"/>
      <c r="M12" s="231"/>
      <c r="N12" s="231"/>
      <c r="O12" s="188">
        <f t="shared" si="0"/>
        <v>76.72</v>
      </c>
      <c r="P12" s="231"/>
      <c r="Q12" s="231"/>
      <c r="R12" s="188">
        <f t="shared" si="1"/>
        <v>76.72</v>
      </c>
    </row>
    <row r="13" spans="1:18" ht="28.5" x14ac:dyDescent="0.2">
      <c r="A13" s="179" t="s">
        <v>762</v>
      </c>
      <c r="B13" s="179" t="s">
        <v>833</v>
      </c>
      <c r="C13" s="180" t="s">
        <v>842</v>
      </c>
      <c r="D13" s="201" t="s">
        <v>841</v>
      </c>
      <c r="E13" s="232" t="s">
        <v>843</v>
      </c>
      <c r="F13" s="236" t="s">
        <v>843</v>
      </c>
      <c r="G13" s="234" t="s">
        <v>788</v>
      </c>
      <c r="H13" s="231"/>
      <c r="I13" s="231"/>
      <c r="J13" s="231"/>
      <c r="K13" s="237">
        <v>46.4</v>
      </c>
      <c r="L13" s="231"/>
      <c r="M13" s="231"/>
      <c r="N13" s="231"/>
      <c r="O13" s="188">
        <f t="shared" si="0"/>
        <v>46.4</v>
      </c>
      <c r="P13" s="231"/>
      <c r="Q13" s="231"/>
      <c r="R13" s="188">
        <f t="shared" si="1"/>
        <v>46.4</v>
      </c>
    </row>
    <row r="14" spans="1:18" ht="28.5" x14ac:dyDescent="0.2">
      <c r="A14" s="179" t="s">
        <v>762</v>
      </c>
      <c r="B14" s="179" t="s">
        <v>833</v>
      </c>
      <c r="C14" s="180" t="s">
        <v>842</v>
      </c>
      <c r="D14" s="201" t="s">
        <v>841</v>
      </c>
      <c r="E14" s="232" t="s">
        <v>844</v>
      </c>
      <c r="F14" s="232" t="s">
        <v>844</v>
      </c>
      <c r="G14" s="234" t="s">
        <v>788</v>
      </c>
      <c r="H14" s="231"/>
      <c r="I14" s="231"/>
      <c r="J14" s="231"/>
      <c r="K14" s="237">
        <v>150</v>
      </c>
      <c r="L14" s="231"/>
      <c r="M14" s="231"/>
      <c r="N14" s="231"/>
      <c r="O14" s="188">
        <f t="shared" ref="O14" si="14">SUM(J14:N14)</f>
        <v>150</v>
      </c>
      <c r="P14" s="231"/>
      <c r="Q14" s="231"/>
      <c r="R14" s="188">
        <f t="shared" ref="R14" si="15">SUM(O14:Q14)</f>
        <v>150</v>
      </c>
    </row>
    <row r="15" spans="1:18" ht="28.5" x14ac:dyDescent="0.2">
      <c r="A15" s="179" t="s">
        <v>762</v>
      </c>
      <c r="B15" s="179" t="s">
        <v>833</v>
      </c>
      <c r="C15" s="180" t="s">
        <v>842</v>
      </c>
      <c r="D15" s="201" t="s">
        <v>841</v>
      </c>
      <c r="E15" s="232" t="s">
        <v>763</v>
      </c>
      <c r="F15" s="232" t="s">
        <v>763</v>
      </c>
      <c r="G15" s="234" t="s">
        <v>788</v>
      </c>
      <c r="H15" s="231"/>
      <c r="I15" s="231"/>
      <c r="J15" s="231"/>
      <c r="K15" s="237">
        <v>77.599999999999994</v>
      </c>
      <c r="L15" s="231"/>
      <c r="M15" s="231"/>
      <c r="N15" s="231"/>
      <c r="O15" s="188">
        <f t="shared" ref="O15:O16" si="16">SUM(J15:N15)</f>
        <v>77.599999999999994</v>
      </c>
      <c r="P15" s="231"/>
      <c r="Q15" s="231"/>
      <c r="R15" s="188">
        <f t="shared" ref="R15:R16" si="17">SUM(O15:Q15)</f>
        <v>77.599999999999994</v>
      </c>
    </row>
    <row r="16" spans="1:18" ht="28.5" x14ac:dyDescent="0.2">
      <c r="A16" s="179" t="s">
        <v>762</v>
      </c>
      <c r="B16" s="179" t="s">
        <v>833</v>
      </c>
      <c r="C16" s="201" t="s">
        <v>310</v>
      </c>
      <c r="D16" s="201" t="s">
        <v>310</v>
      </c>
      <c r="E16" s="232" t="s">
        <v>770</v>
      </c>
      <c r="F16" s="232" t="s">
        <v>770</v>
      </c>
      <c r="G16" s="234" t="s">
        <v>788</v>
      </c>
      <c r="H16" s="231"/>
      <c r="I16" s="231"/>
      <c r="J16" s="231"/>
      <c r="K16" s="237">
        <v>72</v>
      </c>
      <c r="L16" s="231"/>
      <c r="M16" s="231"/>
      <c r="N16" s="231"/>
      <c r="O16" s="188">
        <f t="shared" si="16"/>
        <v>72</v>
      </c>
      <c r="P16" s="231"/>
      <c r="Q16" s="231"/>
      <c r="R16" s="188">
        <f t="shared" si="17"/>
        <v>72</v>
      </c>
    </row>
    <row r="17" spans="1:18" ht="25.5" x14ac:dyDescent="0.2">
      <c r="A17" s="179" t="s">
        <v>764</v>
      </c>
      <c r="B17" s="179" t="s">
        <v>833</v>
      </c>
      <c r="C17" s="180" t="s">
        <v>842</v>
      </c>
      <c r="D17" s="201" t="s">
        <v>841</v>
      </c>
      <c r="E17" s="230" t="s">
        <v>845</v>
      </c>
      <c r="F17" s="230" t="s">
        <v>845</v>
      </c>
      <c r="G17" s="234" t="s">
        <v>787</v>
      </c>
      <c r="H17" s="231"/>
      <c r="I17" s="231"/>
      <c r="J17" s="231"/>
      <c r="K17" s="237">
        <f>8.88+8.85</f>
        <v>17.73</v>
      </c>
      <c r="L17" s="231"/>
      <c r="M17" s="231"/>
      <c r="N17" s="231"/>
      <c r="O17" s="188">
        <f t="shared" si="0"/>
        <v>17.73</v>
      </c>
      <c r="P17" s="231"/>
      <c r="Q17" s="231"/>
      <c r="R17" s="188">
        <f t="shared" si="1"/>
        <v>17.73</v>
      </c>
    </row>
    <row r="18" spans="1:18" ht="25.5" x14ac:dyDescent="0.2">
      <c r="A18" s="179" t="s">
        <v>764</v>
      </c>
      <c r="B18" s="179" t="s">
        <v>833</v>
      </c>
      <c r="C18" s="180" t="s">
        <v>842</v>
      </c>
      <c r="D18" s="201" t="s">
        <v>841</v>
      </c>
      <c r="E18" s="230" t="s">
        <v>846</v>
      </c>
      <c r="F18" s="230" t="s">
        <v>846</v>
      </c>
      <c r="G18" s="234" t="s">
        <v>787</v>
      </c>
      <c r="H18" s="231"/>
      <c r="I18" s="231"/>
      <c r="J18" s="231"/>
      <c r="K18" s="237">
        <f>9.28+7.08</f>
        <v>16.36</v>
      </c>
      <c r="L18" s="231"/>
      <c r="M18" s="231"/>
      <c r="N18" s="231"/>
      <c r="O18" s="188">
        <f t="shared" ref="O18:O19" si="18">SUM(J18:N18)</f>
        <v>16.36</v>
      </c>
      <c r="P18" s="231"/>
      <c r="Q18" s="231"/>
      <c r="R18" s="188">
        <f t="shared" ref="R18:R19" si="19">SUM(O18:Q18)</f>
        <v>16.36</v>
      </c>
    </row>
    <row r="19" spans="1:18" x14ac:dyDescent="0.2">
      <c r="A19" s="179" t="s">
        <v>764</v>
      </c>
      <c r="B19" s="179" t="s">
        <v>833</v>
      </c>
      <c r="C19" s="201" t="s">
        <v>310</v>
      </c>
      <c r="D19" s="201" t="s">
        <v>310</v>
      </c>
      <c r="E19" s="230" t="s">
        <v>767</v>
      </c>
      <c r="F19" s="230" t="s">
        <v>767</v>
      </c>
      <c r="G19" s="234" t="s">
        <v>787</v>
      </c>
      <c r="H19" s="231"/>
      <c r="I19" s="231"/>
      <c r="J19" s="231"/>
      <c r="K19" s="237">
        <f>14.08+12.48</f>
        <v>26.560000000000002</v>
      </c>
      <c r="L19" s="231"/>
      <c r="M19" s="231"/>
      <c r="N19" s="231"/>
      <c r="O19" s="188">
        <f t="shared" si="18"/>
        <v>26.560000000000002</v>
      </c>
      <c r="P19" s="231"/>
      <c r="Q19" s="231"/>
      <c r="R19" s="188">
        <f t="shared" si="19"/>
        <v>26.560000000000002</v>
      </c>
    </row>
    <row r="20" spans="1:18" ht="28.5" x14ac:dyDescent="0.2">
      <c r="A20" s="179" t="s">
        <v>765</v>
      </c>
      <c r="B20" s="179" t="s">
        <v>833</v>
      </c>
      <c r="C20" s="180" t="s">
        <v>842</v>
      </c>
      <c r="D20" s="201" t="s">
        <v>841</v>
      </c>
      <c r="E20" s="230" t="s">
        <v>768</v>
      </c>
      <c r="F20" s="230" t="s">
        <v>768</v>
      </c>
      <c r="G20" s="234" t="s">
        <v>788</v>
      </c>
      <c r="H20" s="231"/>
      <c r="I20" s="231"/>
      <c r="J20" s="231"/>
      <c r="K20" s="237">
        <f>76.4+5.1</f>
        <v>81.5</v>
      </c>
      <c r="L20" s="231"/>
      <c r="M20" s="231"/>
      <c r="N20" s="231"/>
      <c r="O20" s="188">
        <f t="shared" si="0"/>
        <v>81.5</v>
      </c>
      <c r="P20" s="231"/>
      <c r="Q20" s="231"/>
      <c r="R20" s="188">
        <f t="shared" si="1"/>
        <v>81.5</v>
      </c>
    </row>
    <row r="21" spans="1:18" ht="28.5" x14ac:dyDescent="0.2">
      <c r="A21" s="179" t="s">
        <v>769</v>
      </c>
      <c r="B21" s="179" t="s">
        <v>833</v>
      </c>
      <c r="C21" s="201" t="s">
        <v>310</v>
      </c>
      <c r="D21" s="201" t="s">
        <v>310</v>
      </c>
      <c r="E21" s="230" t="s">
        <v>770</v>
      </c>
      <c r="F21" s="230" t="s">
        <v>770</v>
      </c>
      <c r="G21" s="234" t="s">
        <v>788</v>
      </c>
      <c r="H21" s="231"/>
      <c r="I21" s="231"/>
      <c r="J21" s="231"/>
      <c r="K21" s="237">
        <f>78.4</f>
        <v>78.400000000000006</v>
      </c>
      <c r="L21" s="231"/>
      <c r="M21" s="231"/>
      <c r="N21" s="231"/>
      <c r="O21" s="188">
        <f t="shared" si="0"/>
        <v>78.400000000000006</v>
      </c>
      <c r="P21" s="231"/>
      <c r="Q21" s="231"/>
      <c r="R21" s="188">
        <f t="shared" si="1"/>
        <v>78.400000000000006</v>
      </c>
    </row>
    <row r="22" spans="1:18" ht="28.5" x14ac:dyDescent="0.2">
      <c r="A22" s="179" t="s">
        <v>518</v>
      </c>
      <c r="B22" s="179" t="s">
        <v>833</v>
      </c>
      <c r="C22" s="201" t="s">
        <v>310</v>
      </c>
      <c r="D22" s="201" t="s">
        <v>310</v>
      </c>
      <c r="E22" s="230" t="s">
        <v>770</v>
      </c>
      <c r="F22" s="230" t="s">
        <v>770</v>
      </c>
      <c r="G22" s="234" t="s">
        <v>788</v>
      </c>
      <c r="H22" s="231"/>
      <c r="I22" s="231"/>
      <c r="J22" s="231"/>
      <c r="K22" s="237">
        <f>84.8</f>
        <v>84.8</v>
      </c>
      <c r="L22" s="231"/>
      <c r="M22" s="231"/>
      <c r="N22" s="231"/>
      <c r="O22" s="188">
        <f t="shared" si="0"/>
        <v>84.8</v>
      </c>
      <c r="P22" s="231"/>
      <c r="Q22" s="231"/>
      <c r="R22" s="188">
        <f t="shared" si="1"/>
        <v>84.8</v>
      </c>
    </row>
    <row r="23" spans="1:18" ht="42.75" x14ac:dyDescent="0.2">
      <c r="A23" s="179" t="s">
        <v>772</v>
      </c>
      <c r="B23" s="179" t="s">
        <v>833</v>
      </c>
      <c r="C23" s="201" t="s">
        <v>310</v>
      </c>
      <c r="D23" s="201" t="s">
        <v>310</v>
      </c>
      <c r="E23" s="230" t="s">
        <v>771</v>
      </c>
      <c r="F23" s="230" t="s">
        <v>771</v>
      </c>
      <c r="G23" s="234" t="s">
        <v>789</v>
      </c>
      <c r="H23" s="231"/>
      <c r="I23" s="231"/>
      <c r="J23" s="231"/>
      <c r="K23" s="237">
        <f>31.44</f>
        <v>31.44</v>
      </c>
      <c r="L23" s="231"/>
      <c r="M23" s="231"/>
      <c r="N23" s="231"/>
      <c r="O23" s="188">
        <f t="shared" si="0"/>
        <v>31.44</v>
      </c>
      <c r="P23" s="231"/>
      <c r="Q23" s="231"/>
      <c r="R23" s="188">
        <f t="shared" si="1"/>
        <v>31.44</v>
      </c>
    </row>
    <row r="24" spans="1:18" ht="42.75" x14ac:dyDescent="0.2">
      <c r="A24" s="179" t="s">
        <v>773</v>
      </c>
      <c r="B24" s="179" t="s">
        <v>833</v>
      </c>
      <c r="C24" s="201" t="s">
        <v>310</v>
      </c>
      <c r="D24" s="201" t="s">
        <v>310</v>
      </c>
      <c r="E24" s="230" t="s">
        <v>771</v>
      </c>
      <c r="F24" s="230" t="s">
        <v>771</v>
      </c>
      <c r="G24" s="234" t="s">
        <v>789</v>
      </c>
      <c r="H24" s="231"/>
      <c r="I24" s="231"/>
      <c r="J24" s="231"/>
      <c r="K24" s="237">
        <f>32.8</f>
        <v>32.799999999999997</v>
      </c>
      <c r="L24" s="231"/>
      <c r="M24" s="231"/>
      <c r="N24" s="231"/>
      <c r="O24" s="188">
        <f t="shared" si="0"/>
        <v>32.799999999999997</v>
      </c>
      <c r="P24" s="231"/>
      <c r="Q24" s="231"/>
      <c r="R24" s="188">
        <f t="shared" si="1"/>
        <v>32.799999999999997</v>
      </c>
    </row>
    <row r="25" spans="1:18" ht="42.75" x14ac:dyDescent="0.2">
      <c r="A25" s="179" t="s">
        <v>774</v>
      </c>
      <c r="B25" s="179" t="s">
        <v>833</v>
      </c>
      <c r="C25" s="180" t="s">
        <v>842</v>
      </c>
      <c r="D25" s="201" t="s">
        <v>841</v>
      </c>
      <c r="E25" s="230" t="s">
        <v>801</v>
      </c>
      <c r="F25" s="230" t="s">
        <v>801</v>
      </c>
      <c r="G25" s="234" t="s">
        <v>789</v>
      </c>
      <c r="H25" s="231"/>
      <c r="I25" s="231"/>
      <c r="J25" s="231"/>
      <c r="K25" s="237">
        <v>10</v>
      </c>
      <c r="L25" s="231"/>
      <c r="M25" s="231"/>
      <c r="N25" s="231"/>
      <c r="O25" s="188">
        <f t="shared" si="0"/>
        <v>10</v>
      </c>
      <c r="P25" s="231"/>
      <c r="Q25" s="231"/>
      <c r="R25" s="188">
        <f t="shared" si="1"/>
        <v>10</v>
      </c>
    </row>
    <row r="26" spans="1:18" ht="42.75" x14ac:dyDescent="0.2">
      <c r="A26" s="179" t="s">
        <v>774</v>
      </c>
      <c r="B26" s="179" t="s">
        <v>833</v>
      </c>
      <c r="C26" s="201" t="s">
        <v>310</v>
      </c>
      <c r="D26" s="201" t="s">
        <v>310</v>
      </c>
      <c r="E26" s="230" t="s">
        <v>775</v>
      </c>
      <c r="F26" s="230" t="s">
        <v>775</v>
      </c>
      <c r="G26" s="234" t="s">
        <v>789</v>
      </c>
      <c r="H26" s="231"/>
      <c r="I26" s="231"/>
      <c r="J26" s="231"/>
      <c r="K26" s="237">
        <v>54.4</v>
      </c>
      <c r="L26" s="231"/>
      <c r="M26" s="231"/>
      <c r="N26" s="231"/>
      <c r="O26" s="188">
        <f t="shared" ref="O26:O27" si="20">SUM(J26:N26)</f>
        <v>54.4</v>
      </c>
      <c r="P26" s="231"/>
      <c r="Q26" s="231"/>
      <c r="R26" s="188">
        <f t="shared" ref="R26:R27" si="21">SUM(O26:Q26)</f>
        <v>54.4</v>
      </c>
    </row>
    <row r="27" spans="1:18" ht="42.75" x14ac:dyDescent="0.2">
      <c r="A27" s="179" t="s">
        <v>774</v>
      </c>
      <c r="B27" s="179" t="s">
        <v>833</v>
      </c>
      <c r="C27" s="8" t="s">
        <v>231</v>
      </c>
      <c r="D27" s="201" t="s">
        <v>849</v>
      </c>
      <c r="E27" s="230" t="s">
        <v>786</v>
      </c>
      <c r="F27" s="230" t="s">
        <v>786</v>
      </c>
      <c r="G27" s="234" t="s">
        <v>789</v>
      </c>
      <c r="H27" s="231"/>
      <c r="I27" s="231"/>
      <c r="J27" s="231"/>
      <c r="K27" s="237">
        <v>38.72</v>
      </c>
      <c r="L27" s="231"/>
      <c r="M27" s="231"/>
      <c r="N27" s="231"/>
      <c r="O27" s="188">
        <f t="shared" si="20"/>
        <v>38.72</v>
      </c>
      <c r="P27" s="231"/>
      <c r="Q27" s="231"/>
      <c r="R27" s="188">
        <f t="shared" si="21"/>
        <v>38.72</v>
      </c>
    </row>
    <row r="28" spans="1:18" ht="28.5" x14ac:dyDescent="0.2">
      <c r="A28" s="179" t="s">
        <v>777</v>
      </c>
      <c r="B28" s="179" t="s">
        <v>833</v>
      </c>
      <c r="C28" s="201" t="s">
        <v>310</v>
      </c>
      <c r="D28" s="201" t="s">
        <v>310</v>
      </c>
      <c r="E28" s="230" t="s">
        <v>770</v>
      </c>
      <c r="F28" s="230" t="s">
        <v>770</v>
      </c>
      <c r="G28" s="234" t="s">
        <v>788</v>
      </c>
      <c r="H28" s="231"/>
      <c r="I28" s="231"/>
      <c r="J28" s="231"/>
      <c r="K28" s="237">
        <f>88.8</f>
        <v>88.8</v>
      </c>
      <c r="L28" s="231"/>
      <c r="M28" s="231"/>
      <c r="N28" s="231"/>
      <c r="O28" s="188">
        <f t="shared" si="0"/>
        <v>88.8</v>
      </c>
      <c r="P28" s="231"/>
      <c r="Q28" s="231"/>
      <c r="R28" s="188">
        <f t="shared" si="1"/>
        <v>88.8</v>
      </c>
    </row>
    <row r="29" spans="1:18" ht="28.5" x14ac:dyDescent="0.2">
      <c r="A29" s="179" t="s">
        <v>778</v>
      </c>
      <c r="B29" s="179" t="s">
        <v>833</v>
      </c>
      <c r="C29" s="180" t="s">
        <v>842</v>
      </c>
      <c r="D29" s="201" t="s">
        <v>841</v>
      </c>
      <c r="E29" s="230" t="s">
        <v>847</v>
      </c>
      <c r="F29" s="230" t="s">
        <v>847</v>
      </c>
      <c r="G29" s="234" t="s">
        <v>788</v>
      </c>
      <c r="H29" s="231"/>
      <c r="I29" s="231"/>
      <c r="J29" s="231"/>
      <c r="K29" s="237">
        <f>31.56+31.56</f>
        <v>63.12</v>
      </c>
      <c r="L29" s="231"/>
      <c r="M29" s="231"/>
      <c r="N29" s="231"/>
      <c r="O29" s="188"/>
      <c r="P29" s="231"/>
      <c r="Q29" s="231"/>
      <c r="R29" s="188"/>
    </row>
    <row r="30" spans="1:18" ht="28.5" x14ac:dyDescent="0.2">
      <c r="A30" s="179" t="s">
        <v>778</v>
      </c>
      <c r="B30" s="179" t="s">
        <v>833</v>
      </c>
      <c r="C30" s="180" t="s">
        <v>840</v>
      </c>
      <c r="D30" s="180" t="s">
        <v>840</v>
      </c>
      <c r="E30" s="230" t="s">
        <v>770</v>
      </c>
      <c r="F30" s="230" t="s">
        <v>770</v>
      </c>
      <c r="G30" s="234" t="s">
        <v>788</v>
      </c>
      <c r="H30" s="231"/>
      <c r="I30" s="231"/>
      <c r="J30" s="231"/>
      <c r="K30" s="237">
        <f>30.76+30.76</f>
        <v>61.52</v>
      </c>
      <c r="L30" s="231"/>
      <c r="M30" s="231"/>
      <c r="N30" s="231"/>
      <c r="O30" s="188">
        <f t="shared" si="0"/>
        <v>61.52</v>
      </c>
      <c r="P30" s="231"/>
      <c r="Q30" s="231"/>
      <c r="R30" s="188">
        <f t="shared" si="1"/>
        <v>61.52</v>
      </c>
    </row>
    <row r="31" spans="1:18" ht="42.75" x14ac:dyDescent="0.2">
      <c r="A31" s="179" t="s">
        <v>779</v>
      </c>
      <c r="B31" s="179" t="s">
        <v>833</v>
      </c>
      <c r="C31" s="180" t="s">
        <v>842</v>
      </c>
      <c r="D31" s="201" t="s">
        <v>841</v>
      </c>
      <c r="E31" s="230" t="s">
        <v>850</v>
      </c>
      <c r="F31" s="230" t="s">
        <v>850</v>
      </c>
      <c r="G31" s="234" t="s">
        <v>789</v>
      </c>
      <c r="H31" s="231"/>
      <c r="I31" s="231"/>
      <c r="J31" s="231"/>
      <c r="K31" s="237">
        <v>52.56</v>
      </c>
      <c r="L31" s="231"/>
      <c r="M31" s="231"/>
      <c r="N31" s="231"/>
      <c r="O31" s="188">
        <f t="shared" si="0"/>
        <v>52.56</v>
      </c>
      <c r="P31" s="231"/>
      <c r="Q31" s="231"/>
      <c r="R31" s="188">
        <f t="shared" si="1"/>
        <v>52.56</v>
      </c>
    </row>
    <row r="32" spans="1:18" ht="42.75" x14ac:dyDescent="0.2">
      <c r="A32" s="179" t="s">
        <v>779</v>
      </c>
      <c r="B32" s="179" t="s">
        <v>833</v>
      </c>
      <c r="C32" s="180" t="s">
        <v>842</v>
      </c>
      <c r="D32" s="201" t="s">
        <v>841</v>
      </c>
      <c r="E32" s="230" t="s">
        <v>851</v>
      </c>
      <c r="F32" s="230" t="s">
        <v>851</v>
      </c>
      <c r="G32" s="234" t="s">
        <v>789</v>
      </c>
      <c r="H32" s="231"/>
      <c r="I32" s="231"/>
      <c r="J32" s="231"/>
      <c r="K32" s="237">
        <v>37.04</v>
      </c>
      <c r="L32" s="231"/>
      <c r="M32" s="231"/>
      <c r="N32" s="231"/>
      <c r="O32" s="188">
        <f t="shared" ref="O32:O33" si="22">SUM(J32:N32)</f>
        <v>37.04</v>
      </c>
      <c r="P32" s="231"/>
      <c r="Q32" s="231"/>
      <c r="R32" s="188">
        <f t="shared" ref="R32:R33" si="23">SUM(O32:Q32)</f>
        <v>37.04</v>
      </c>
    </row>
    <row r="33" spans="1:18" ht="42.75" x14ac:dyDescent="0.2">
      <c r="A33" s="179" t="s">
        <v>779</v>
      </c>
      <c r="B33" s="179" t="s">
        <v>833</v>
      </c>
      <c r="C33" s="201" t="s">
        <v>310</v>
      </c>
      <c r="D33" s="201" t="s">
        <v>310</v>
      </c>
      <c r="E33" s="230" t="s">
        <v>775</v>
      </c>
      <c r="F33" s="230" t="s">
        <v>775</v>
      </c>
      <c r="G33" s="234" t="s">
        <v>789</v>
      </c>
      <c r="H33" s="231"/>
      <c r="I33" s="231"/>
      <c r="J33" s="231"/>
      <c r="K33" s="237">
        <v>37.520000000000003</v>
      </c>
      <c r="L33" s="231"/>
      <c r="M33" s="231"/>
      <c r="N33" s="231"/>
      <c r="O33" s="188">
        <f t="shared" si="22"/>
        <v>37.520000000000003</v>
      </c>
      <c r="P33" s="231"/>
      <c r="Q33" s="231"/>
      <c r="R33" s="188">
        <f t="shared" si="23"/>
        <v>37.520000000000003</v>
      </c>
    </row>
    <row r="34" spans="1:18" ht="42.75" x14ac:dyDescent="0.2">
      <c r="A34" s="179" t="s">
        <v>780</v>
      </c>
      <c r="B34" s="179" t="s">
        <v>833</v>
      </c>
      <c r="C34" s="201" t="s">
        <v>310</v>
      </c>
      <c r="D34" s="201" t="s">
        <v>310</v>
      </c>
      <c r="E34" s="230" t="s">
        <v>781</v>
      </c>
      <c r="F34" s="230" t="s">
        <v>781</v>
      </c>
      <c r="G34" s="234" t="s">
        <v>789</v>
      </c>
      <c r="H34" s="231"/>
      <c r="I34" s="231"/>
      <c r="J34" s="231"/>
      <c r="K34" s="237">
        <f>32.56</f>
        <v>32.56</v>
      </c>
      <c r="L34" s="231"/>
      <c r="M34" s="231"/>
      <c r="N34" s="231"/>
      <c r="O34" s="188">
        <f t="shared" si="0"/>
        <v>32.56</v>
      </c>
      <c r="P34" s="231"/>
      <c r="Q34" s="231"/>
      <c r="R34" s="188">
        <f t="shared" si="1"/>
        <v>32.56</v>
      </c>
    </row>
    <row r="35" spans="1:18" x14ac:dyDescent="0.2">
      <c r="A35" s="179" t="s">
        <v>782</v>
      </c>
      <c r="B35" s="179" t="s">
        <v>833</v>
      </c>
      <c r="C35" s="201" t="s">
        <v>310</v>
      </c>
      <c r="D35" s="201" t="s">
        <v>310</v>
      </c>
      <c r="E35" s="230" t="s">
        <v>775</v>
      </c>
      <c r="F35" s="230" t="s">
        <v>775</v>
      </c>
      <c r="G35" s="234" t="s">
        <v>790</v>
      </c>
      <c r="H35" s="231"/>
      <c r="I35" s="231"/>
      <c r="J35" s="231"/>
      <c r="K35" s="237">
        <f>102.4</f>
        <v>102.4</v>
      </c>
      <c r="L35" s="231"/>
      <c r="M35" s="231"/>
      <c r="N35" s="231"/>
      <c r="O35" s="188">
        <f t="shared" si="0"/>
        <v>102.4</v>
      </c>
      <c r="P35" s="231"/>
      <c r="Q35" s="231"/>
      <c r="R35" s="188">
        <f t="shared" si="1"/>
        <v>102.4</v>
      </c>
    </row>
    <row r="36" spans="1:18" ht="42.75" x14ac:dyDescent="0.2">
      <c r="A36" s="179" t="s">
        <v>783</v>
      </c>
      <c r="B36" s="179" t="s">
        <v>833</v>
      </c>
      <c r="C36" s="201" t="s">
        <v>310</v>
      </c>
      <c r="D36" s="201" t="s">
        <v>310</v>
      </c>
      <c r="E36" s="230" t="s">
        <v>775</v>
      </c>
      <c r="F36" s="230" t="s">
        <v>775</v>
      </c>
      <c r="G36" s="234" t="s">
        <v>789</v>
      </c>
      <c r="H36" s="231"/>
      <c r="I36" s="231"/>
      <c r="J36" s="231"/>
      <c r="K36" s="237">
        <f>17.84</f>
        <v>17.84</v>
      </c>
      <c r="L36" s="231"/>
      <c r="M36" s="231"/>
      <c r="N36" s="231"/>
      <c r="O36" s="188">
        <f t="shared" si="0"/>
        <v>17.84</v>
      </c>
      <c r="P36" s="231"/>
      <c r="Q36" s="231"/>
      <c r="R36" s="188">
        <f t="shared" si="1"/>
        <v>17.84</v>
      </c>
    </row>
    <row r="37" spans="1:18" ht="42.75" x14ac:dyDescent="0.2">
      <c r="A37" s="179" t="s">
        <v>784</v>
      </c>
      <c r="B37" s="179" t="s">
        <v>833</v>
      </c>
      <c r="C37" s="201" t="s">
        <v>310</v>
      </c>
      <c r="D37" s="201" t="s">
        <v>310</v>
      </c>
      <c r="E37" s="230" t="s">
        <v>775</v>
      </c>
      <c r="F37" s="230" t="s">
        <v>775</v>
      </c>
      <c r="G37" s="234" t="s">
        <v>789</v>
      </c>
      <c r="H37" s="231"/>
      <c r="I37" s="231"/>
      <c r="J37" s="231"/>
      <c r="K37" s="237">
        <v>25.6</v>
      </c>
      <c r="L37" s="231"/>
      <c r="M37" s="231"/>
      <c r="N37" s="231"/>
      <c r="O37" s="188">
        <f t="shared" si="0"/>
        <v>25.6</v>
      </c>
      <c r="P37" s="231"/>
      <c r="Q37" s="231"/>
      <c r="R37" s="188">
        <f t="shared" si="1"/>
        <v>25.6</v>
      </c>
    </row>
    <row r="38" spans="1:18" ht="28.5" x14ac:dyDescent="0.2">
      <c r="A38" s="179" t="s">
        <v>785</v>
      </c>
      <c r="B38" s="179" t="s">
        <v>833</v>
      </c>
      <c r="C38" s="201" t="s">
        <v>310</v>
      </c>
      <c r="D38" s="201" t="s">
        <v>310</v>
      </c>
      <c r="E38" s="230" t="s">
        <v>770</v>
      </c>
      <c r="F38" s="230" t="s">
        <v>770</v>
      </c>
      <c r="G38" s="234" t="s">
        <v>788</v>
      </c>
      <c r="H38" s="231"/>
      <c r="I38" s="231"/>
      <c r="J38" s="231"/>
      <c r="K38" s="237">
        <v>108.8</v>
      </c>
      <c r="L38" s="231"/>
      <c r="M38" s="231"/>
      <c r="N38" s="231"/>
      <c r="O38" s="188">
        <f t="shared" si="0"/>
        <v>108.8</v>
      </c>
      <c r="P38" s="231"/>
      <c r="Q38" s="231"/>
      <c r="R38" s="188">
        <f t="shared" si="1"/>
        <v>108.8</v>
      </c>
    </row>
    <row r="39" spans="1:18" ht="25.5" x14ac:dyDescent="0.2">
      <c r="A39" s="179" t="s">
        <v>792</v>
      </c>
      <c r="B39" s="179" t="s">
        <v>833</v>
      </c>
      <c r="C39" s="180" t="s">
        <v>842</v>
      </c>
      <c r="D39" s="201" t="s">
        <v>841</v>
      </c>
      <c r="E39" s="230" t="s">
        <v>793</v>
      </c>
      <c r="F39" s="230" t="s">
        <v>793</v>
      </c>
      <c r="G39" s="234" t="s">
        <v>615</v>
      </c>
      <c r="H39" s="231"/>
      <c r="I39" s="231"/>
      <c r="J39" s="231"/>
      <c r="K39" s="237">
        <f>18.64</f>
        <v>18.64</v>
      </c>
      <c r="L39" s="231"/>
      <c r="M39" s="231"/>
      <c r="N39" s="231"/>
      <c r="O39" s="188">
        <f t="shared" si="0"/>
        <v>18.64</v>
      </c>
      <c r="P39" s="231"/>
      <c r="Q39" s="231"/>
      <c r="R39" s="188">
        <f t="shared" si="1"/>
        <v>18.64</v>
      </c>
    </row>
    <row r="40" spans="1:18" ht="28.5" x14ac:dyDescent="0.2">
      <c r="A40" s="179" t="s">
        <v>794</v>
      </c>
      <c r="B40" s="179" t="s">
        <v>833</v>
      </c>
      <c r="C40" s="8" t="s">
        <v>218</v>
      </c>
      <c r="D40" s="201" t="s">
        <v>834</v>
      </c>
      <c r="E40" s="230" t="s">
        <v>848</v>
      </c>
      <c r="F40" s="230" t="s">
        <v>848</v>
      </c>
      <c r="G40" s="234" t="s">
        <v>804</v>
      </c>
      <c r="H40" s="231"/>
      <c r="I40" s="231"/>
      <c r="J40" s="231"/>
      <c r="K40" s="237">
        <v>38.4</v>
      </c>
      <c r="L40" s="231"/>
      <c r="M40" s="231"/>
      <c r="N40" s="231"/>
      <c r="O40" s="188">
        <f t="shared" si="0"/>
        <v>38.4</v>
      </c>
      <c r="P40" s="231"/>
      <c r="Q40" s="231"/>
      <c r="R40" s="188">
        <f t="shared" si="1"/>
        <v>38.4</v>
      </c>
    </row>
    <row r="41" spans="1:18" ht="28.5" x14ac:dyDescent="0.2">
      <c r="A41" s="179" t="s">
        <v>794</v>
      </c>
      <c r="B41" s="179" t="s">
        <v>833</v>
      </c>
      <c r="C41" s="201" t="s">
        <v>310</v>
      </c>
      <c r="D41" s="201" t="s">
        <v>310</v>
      </c>
      <c r="E41" s="230" t="s">
        <v>801</v>
      </c>
      <c r="F41" s="230" t="s">
        <v>801</v>
      </c>
      <c r="G41" s="234" t="s">
        <v>804</v>
      </c>
      <c r="H41" s="231"/>
      <c r="I41" s="231"/>
      <c r="J41" s="231"/>
      <c r="K41" s="237">
        <v>44</v>
      </c>
      <c r="L41" s="231"/>
      <c r="M41" s="231"/>
      <c r="N41" s="231"/>
      <c r="O41" s="188">
        <f t="shared" ref="O41:O42" si="24">SUM(J41:N41)</f>
        <v>44</v>
      </c>
      <c r="P41" s="231"/>
      <c r="Q41" s="231"/>
      <c r="R41" s="188">
        <f t="shared" ref="R41:R42" si="25">SUM(O41:Q41)</f>
        <v>44</v>
      </c>
    </row>
    <row r="42" spans="1:18" ht="28.5" x14ac:dyDescent="0.2">
      <c r="A42" s="179" t="s">
        <v>794</v>
      </c>
      <c r="B42" s="179" t="s">
        <v>833</v>
      </c>
      <c r="C42" s="8" t="s">
        <v>218</v>
      </c>
      <c r="D42" s="201" t="s">
        <v>834</v>
      </c>
      <c r="E42" s="230" t="s">
        <v>802</v>
      </c>
      <c r="F42" s="230" t="s">
        <v>802</v>
      </c>
      <c r="G42" s="234" t="s">
        <v>804</v>
      </c>
      <c r="H42" s="231"/>
      <c r="I42" s="231"/>
      <c r="J42" s="231"/>
      <c r="K42" s="237">
        <v>53.6</v>
      </c>
      <c r="L42" s="231"/>
      <c r="M42" s="231"/>
      <c r="N42" s="231"/>
      <c r="O42" s="188">
        <f t="shared" si="24"/>
        <v>53.6</v>
      </c>
      <c r="P42" s="231"/>
      <c r="Q42" s="231"/>
      <c r="R42" s="188">
        <f t="shared" si="25"/>
        <v>53.6</v>
      </c>
    </row>
    <row r="43" spans="1:18" ht="28.5" x14ac:dyDescent="0.2">
      <c r="A43" s="179" t="s">
        <v>795</v>
      </c>
      <c r="B43" s="179" t="s">
        <v>833</v>
      </c>
      <c r="C43" s="201" t="s">
        <v>310</v>
      </c>
      <c r="D43" s="201" t="s">
        <v>310</v>
      </c>
      <c r="E43" s="230" t="s">
        <v>763</v>
      </c>
      <c r="F43" s="230" t="s">
        <v>763</v>
      </c>
      <c r="G43" s="234" t="s">
        <v>804</v>
      </c>
      <c r="H43" s="231"/>
      <c r="I43" s="231"/>
      <c r="J43" s="231"/>
      <c r="K43" s="237">
        <f>119.2</f>
        <v>119.2</v>
      </c>
      <c r="L43" s="231"/>
      <c r="M43" s="231"/>
      <c r="N43" s="231"/>
      <c r="O43" s="188">
        <f t="shared" si="0"/>
        <v>119.2</v>
      </c>
      <c r="P43" s="231"/>
      <c r="Q43" s="231"/>
      <c r="R43" s="188">
        <f t="shared" si="1"/>
        <v>119.2</v>
      </c>
    </row>
    <row r="44" spans="1:18" ht="28.5" x14ac:dyDescent="0.2">
      <c r="A44" s="179" t="s">
        <v>796</v>
      </c>
      <c r="B44" s="179" t="s">
        <v>833</v>
      </c>
      <c r="C44" s="201" t="s">
        <v>310</v>
      </c>
      <c r="D44" s="201" t="s">
        <v>310</v>
      </c>
      <c r="E44" s="230" t="s">
        <v>815</v>
      </c>
      <c r="F44" s="230" t="s">
        <v>815</v>
      </c>
      <c r="G44" s="234" t="s">
        <v>804</v>
      </c>
      <c r="H44" s="231"/>
      <c r="I44" s="231"/>
      <c r="J44" s="231"/>
      <c r="K44" s="237">
        <f>84.8</f>
        <v>84.8</v>
      </c>
      <c r="L44" s="231"/>
      <c r="M44" s="231"/>
      <c r="N44" s="231"/>
      <c r="O44" s="188">
        <f t="shared" si="0"/>
        <v>84.8</v>
      </c>
      <c r="P44" s="231"/>
      <c r="Q44" s="231"/>
      <c r="R44" s="188">
        <f t="shared" si="1"/>
        <v>84.8</v>
      </c>
    </row>
    <row r="45" spans="1:18" ht="28.5" x14ac:dyDescent="0.2">
      <c r="A45" s="179" t="s">
        <v>796</v>
      </c>
      <c r="B45" s="179" t="s">
        <v>833</v>
      </c>
      <c r="C45" s="180" t="s">
        <v>842</v>
      </c>
      <c r="D45" s="201" t="s">
        <v>841</v>
      </c>
      <c r="E45" s="230" t="s">
        <v>763</v>
      </c>
      <c r="F45" s="230" t="s">
        <v>803</v>
      </c>
      <c r="G45" s="234" t="s">
        <v>804</v>
      </c>
      <c r="H45" s="231"/>
      <c r="I45" s="231"/>
      <c r="J45" s="231"/>
      <c r="K45" s="237">
        <v>28</v>
      </c>
      <c r="L45" s="231"/>
      <c r="M45" s="231"/>
      <c r="N45" s="231"/>
      <c r="O45" s="188">
        <f t="shared" ref="O45" si="26">SUM(J45:N45)</f>
        <v>28</v>
      </c>
      <c r="P45" s="231"/>
      <c r="Q45" s="231"/>
      <c r="R45" s="188">
        <f t="shared" ref="R45" si="27">SUM(O45:Q45)</f>
        <v>28</v>
      </c>
    </row>
    <row r="46" spans="1:18" ht="28.5" x14ac:dyDescent="0.2">
      <c r="A46" s="179" t="s">
        <v>797</v>
      </c>
      <c r="B46" s="179" t="s">
        <v>833</v>
      </c>
      <c r="C46" s="201" t="s">
        <v>310</v>
      </c>
      <c r="D46" s="201" t="s">
        <v>310</v>
      </c>
      <c r="E46" s="230" t="s">
        <v>763</v>
      </c>
      <c r="F46" s="230" t="s">
        <v>763</v>
      </c>
      <c r="G46" s="234" t="s">
        <v>804</v>
      </c>
      <c r="H46" s="231"/>
      <c r="I46" s="231"/>
      <c r="J46" s="231"/>
      <c r="K46" s="237">
        <f>12.64+12.64</f>
        <v>25.28</v>
      </c>
      <c r="L46" s="231"/>
      <c r="M46" s="231"/>
      <c r="N46" s="231"/>
      <c r="O46" s="188">
        <f t="shared" si="0"/>
        <v>25.28</v>
      </c>
      <c r="P46" s="231"/>
      <c r="Q46" s="231"/>
      <c r="R46" s="188">
        <f t="shared" si="1"/>
        <v>25.28</v>
      </c>
    </row>
    <row r="47" spans="1:18" ht="25.5" x14ac:dyDescent="0.2">
      <c r="A47" s="179" t="s">
        <v>798</v>
      </c>
      <c r="B47" s="179" t="s">
        <v>833</v>
      </c>
      <c r="C47" s="180" t="s">
        <v>842</v>
      </c>
      <c r="D47" s="201" t="s">
        <v>841</v>
      </c>
      <c r="E47" s="230" t="s">
        <v>843</v>
      </c>
      <c r="F47" s="230" t="s">
        <v>843</v>
      </c>
      <c r="G47" s="234" t="s">
        <v>615</v>
      </c>
      <c r="H47" s="231"/>
      <c r="I47" s="231"/>
      <c r="J47" s="231"/>
      <c r="K47" s="237">
        <f>5.52+3</f>
        <v>8.52</v>
      </c>
      <c r="L47" s="231"/>
      <c r="M47" s="231"/>
      <c r="N47" s="231"/>
      <c r="O47" s="188">
        <f t="shared" si="0"/>
        <v>8.52</v>
      </c>
      <c r="P47" s="231"/>
      <c r="Q47" s="231"/>
      <c r="R47" s="188">
        <f t="shared" si="1"/>
        <v>8.52</v>
      </c>
    </row>
    <row r="48" spans="1:18" ht="25.5" x14ac:dyDescent="0.2">
      <c r="A48" s="179" t="s">
        <v>798</v>
      </c>
      <c r="B48" s="179" t="s">
        <v>833</v>
      </c>
      <c r="C48" s="180" t="s">
        <v>842</v>
      </c>
      <c r="D48" s="201" t="s">
        <v>841</v>
      </c>
      <c r="E48" s="230" t="s">
        <v>852</v>
      </c>
      <c r="F48" s="230" t="s">
        <v>852</v>
      </c>
      <c r="G48" s="234" t="s">
        <v>615</v>
      </c>
      <c r="H48" s="231"/>
      <c r="I48" s="231"/>
      <c r="J48" s="231"/>
      <c r="K48" s="237">
        <v>5.96</v>
      </c>
      <c r="L48" s="231"/>
      <c r="M48" s="231"/>
      <c r="N48" s="231"/>
      <c r="O48" s="188">
        <f t="shared" ref="O48:O50" si="28">SUM(J48:N48)</f>
        <v>5.96</v>
      </c>
      <c r="P48" s="231"/>
      <c r="Q48" s="231"/>
      <c r="R48" s="188">
        <f t="shared" ref="R48:R50" si="29">SUM(O48:Q48)</f>
        <v>5.96</v>
      </c>
    </row>
    <row r="49" spans="1:18" ht="25.5" x14ac:dyDescent="0.2">
      <c r="A49" s="179" t="s">
        <v>798</v>
      </c>
      <c r="B49" s="179" t="s">
        <v>833</v>
      </c>
      <c r="C49" s="180" t="s">
        <v>842</v>
      </c>
      <c r="D49" s="201" t="s">
        <v>841</v>
      </c>
      <c r="E49" s="230" t="s">
        <v>768</v>
      </c>
      <c r="F49" s="230" t="s">
        <v>768</v>
      </c>
      <c r="G49" s="234" t="s">
        <v>615</v>
      </c>
      <c r="H49" s="231"/>
      <c r="I49" s="231"/>
      <c r="J49" s="231"/>
      <c r="K49" s="237">
        <v>14.16</v>
      </c>
      <c r="L49" s="231"/>
      <c r="M49" s="231"/>
      <c r="N49" s="231"/>
      <c r="O49" s="188">
        <f t="shared" si="28"/>
        <v>14.16</v>
      </c>
      <c r="P49" s="231"/>
      <c r="Q49" s="231"/>
      <c r="R49" s="188">
        <f t="shared" si="29"/>
        <v>14.16</v>
      </c>
    </row>
    <row r="50" spans="1:18" ht="25.5" x14ac:dyDescent="0.2">
      <c r="A50" s="179" t="s">
        <v>798</v>
      </c>
      <c r="B50" s="179" t="s">
        <v>833</v>
      </c>
      <c r="C50" s="180" t="s">
        <v>842</v>
      </c>
      <c r="D50" s="201" t="s">
        <v>841</v>
      </c>
      <c r="E50" s="230" t="s">
        <v>853</v>
      </c>
      <c r="F50" s="230" t="s">
        <v>853</v>
      </c>
      <c r="G50" s="234" t="s">
        <v>615</v>
      </c>
      <c r="H50" s="231"/>
      <c r="I50" s="231"/>
      <c r="J50" s="231"/>
      <c r="K50" s="237">
        <v>9.68</v>
      </c>
      <c r="L50" s="231"/>
      <c r="M50" s="231"/>
      <c r="N50" s="231"/>
      <c r="O50" s="188">
        <f t="shared" si="28"/>
        <v>9.68</v>
      </c>
      <c r="P50" s="231"/>
      <c r="Q50" s="231"/>
      <c r="R50" s="188">
        <f t="shared" si="29"/>
        <v>9.68</v>
      </c>
    </row>
    <row r="51" spans="1:18" x14ac:dyDescent="0.2">
      <c r="A51" s="179" t="s">
        <v>798</v>
      </c>
      <c r="B51" s="179" t="s">
        <v>833</v>
      </c>
      <c r="C51" s="201" t="s">
        <v>310</v>
      </c>
      <c r="D51" s="201" t="s">
        <v>310</v>
      </c>
      <c r="E51" s="230" t="s">
        <v>770</v>
      </c>
      <c r="F51" s="230" t="s">
        <v>770</v>
      </c>
      <c r="G51" s="234" t="s">
        <v>615</v>
      </c>
      <c r="H51" s="231"/>
      <c r="I51" s="231"/>
      <c r="J51" s="231"/>
      <c r="K51" s="237">
        <v>10.64</v>
      </c>
      <c r="L51" s="231"/>
      <c r="M51" s="231"/>
      <c r="N51" s="231"/>
      <c r="O51" s="188">
        <f t="shared" ref="O51" si="30">SUM(J51:N51)</f>
        <v>10.64</v>
      </c>
      <c r="P51" s="231"/>
      <c r="Q51" s="231"/>
      <c r="R51" s="188">
        <f t="shared" ref="R51" si="31">SUM(O51:Q51)</f>
        <v>10.64</v>
      </c>
    </row>
    <row r="52" spans="1:18" ht="25.5" x14ac:dyDescent="0.2">
      <c r="A52" s="179" t="s">
        <v>799</v>
      </c>
      <c r="B52" s="179" t="s">
        <v>833</v>
      </c>
      <c r="C52" s="180" t="s">
        <v>842</v>
      </c>
      <c r="D52" s="201" t="s">
        <v>841</v>
      </c>
      <c r="E52" s="230" t="s">
        <v>854</v>
      </c>
      <c r="F52" s="230" t="s">
        <v>854</v>
      </c>
      <c r="G52" s="235" t="s">
        <v>615</v>
      </c>
      <c r="H52" s="231"/>
      <c r="I52" s="231"/>
      <c r="J52" s="231"/>
      <c r="K52" s="237">
        <v>15.76</v>
      </c>
      <c r="L52" s="231"/>
      <c r="M52" s="231"/>
      <c r="N52" s="231"/>
      <c r="O52" s="188">
        <f t="shared" si="0"/>
        <v>15.76</v>
      </c>
      <c r="P52" s="231"/>
      <c r="Q52" s="231"/>
      <c r="R52" s="188">
        <f t="shared" si="1"/>
        <v>15.76</v>
      </c>
    </row>
    <row r="53" spans="1:18" x14ac:dyDescent="0.2">
      <c r="A53" s="179" t="s">
        <v>799</v>
      </c>
      <c r="B53" s="179" t="s">
        <v>833</v>
      </c>
      <c r="C53" s="201" t="s">
        <v>310</v>
      </c>
      <c r="D53" s="201" t="s">
        <v>310</v>
      </c>
      <c r="E53" s="230" t="s">
        <v>756</v>
      </c>
      <c r="F53" s="230" t="s">
        <v>756</v>
      </c>
      <c r="G53" s="235" t="s">
        <v>615</v>
      </c>
      <c r="H53" s="231"/>
      <c r="I53" s="231"/>
      <c r="J53" s="231"/>
      <c r="K53" s="237">
        <v>26.8</v>
      </c>
      <c r="L53" s="231"/>
      <c r="M53" s="231"/>
      <c r="N53" s="231"/>
      <c r="O53" s="188">
        <f t="shared" ref="O53" si="32">SUM(J53:N53)</f>
        <v>26.8</v>
      </c>
      <c r="P53" s="231"/>
      <c r="Q53" s="231"/>
      <c r="R53" s="188">
        <f t="shared" ref="R53" si="33">SUM(O53:Q53)</f>
        <v>26.8</v>
      </c>
    </row>
    <row r="54" spans="1:18" ht="28.5" x14ac:dyDescent="0.2">
      <c r="A54" s="179" t="s">
        <v>800</v>
      </c>
      <c r="B54" s="179" t="s">
        <v>833</v>
      </c>
      <c r="C54" s="201" t="s">
        <v>310</v>
      </c>
      <c r="D54" s="201" t="s">
        <v>310</v>
      </c>
      <c r="E54" s="230" t="s">
        <v>801</v>
      </c>
      <c r="F54" s="230" t="s">
        <v>801</v>
      </c>
      <c r="G54" s="234" t="s">
        <v>804</v>
      </c>
      <c r="H54" s="231"/>
      <c r="I54" s="231"/>
      <c r="J54" s="231"/>
      <c r="K54" s="237">
        <f>73.6</f>
        <v>73.599999999999994</v>
      </c>
      <c r="L54" s="231"/>
      <c r="M54" s="231"/>
      <c r="N54" s="231"/>
      <c r="O54" s="188">
        <f t="shared" si="0"/>
        <v>73.599999999999994</v>
      </c>
      <c r="P54" s="231"/>
      <c r="Q54" s="231"/>
      <c r="R54" s="188">
        <f t="shared" si="1"/>
        <v>73.599999999999994</v>
      </c>
    </row>
    <row r="55" spans="1:18" ht="25.5" x14ac:dyDescent="0.2">
      <c r="A55" s="179" t="s">
        <v>805</v>
      </c>
      <c r="B55" s="179" t="s">
        <v>833</v>
      </c>
      <c r="C55" s="180" t="s">
        <v>842</v>
      </c>
      <c r="D55" s="201" t="s">
        <v>841</v>
      </c>
      <c r="E55" s="230" t="s">
        <v>806</v>
      </c>
      <c r="F55" s="230" t="s">
        <v>852</v>
      </c>
      <c r="G55" s="234" t="s">
        <v>816</v>
      </c>
      <c r="H55" s="231"/>
      <c r="I55" s="231"/>
      <c r="J55" s="231"/>
      <c r="K55" s="237">
        <v>41.2</v>
      </c>
      <c r="L55" s="231"/>
      <c r="M55" s="231"/>
      <c r="N55" s="231"/>
      <c r="O55" s="188">
        <f t="shared" si="0"/>
        <v>41.2</v>
      </c>
      <c r="P55" s="231"/>
      <c r="Q55" s="231"/>
      <c r="R55" s="188">
        <f t="shared" si="1"/>
        <v>41.2</v>
      </c>
    </row>
    <row r="56" spans="1:18" ht="25.5" x14ac:dyDescent="0.2">
      <c r="A56" s="179" t="s">
        <v>805</v>
      </c>
      <c r="B56" s="179" t="s">
        <v>833</v>
      </c>
      <c r="C56" s="180" t="s">
        <v>842</v>
      </c>
      <c r="D56" s="201" t="s">
        <v>841</v>
      </c>
      <c r="E56" s="230" t="s">
        <v>839</v>
      </c>
      <c r="F56" s="230" t="s">
        <v>839</v>
      </c>
      <c r="G56" s="234" t="s">
        <v>816</v>
      </c>
      <c r="H56" s="231"/>
      <c r="I56" s="231"/>
      <c r="J56" s="231"/>
      <c r="K56" s="237">
        <v>63.6</v>
      </c>
      <c r="L56" s="231"/>
      <c r="M56" s="231"/>
      <c r="N56" s="231"/>
      <c r="O56" s="188">
        <f t="shared" ref="O56:O57" si="34">SUM(J56:N56)</f>
        <v>63.6</v>
      </c>
      <c r="P56" s="231"/>
      <c r="Q56" s="231"/>
      <c r="R56" s="188">
        <f t="shared" ref="R56:R57" si="35">SUM(O56:Q56)</f>
        <v>63.6</v>
      </c>
    </row>
    <row r="57" spans="1:18" x14ac:dyDescent="0.2">
      <c r="A57" s="179" t="s">
        <v>805</v>
      </c>
      <c r="B57" s="179" t="s">
        <v>833</v>
      </c>
      <c r="C57" s="201" t="s">
        <v>310</v>
      </c>
      <c r="D57" s="201" t="s">
        <v>310</v>
      </c>
      <c r="E57" s="230" t="s">
        <v>855</v>
      </c>
      <c r="F57" s="230" t="s">
        <v>812</v>
      </c>
      <c r="G57" s="234" t="s">
        <v>816</v>
      </c>
      <c r="H57" s="231"/>
      <c r="I57" s="231"/>
      <c r="J57" s="231"/>
      <c r="K57" s="237">
        <v>58.8</v>
      </c>
      <c r="L57" s="231"/>
      <c r="M57" s="231"/>
      <c r="N57" s="231"/>
      <c r="O57" s="188">
        <f t="shared" si="34"/>
        <v>58.8</v>
      </c>
      <c r="P57" s="231"/>
      <c r="Q57" s="231"/>
      <c r="R57" s="188">
        <f t="shared" si="35"/>
        <v>58.8</v>
      </c>
    </row>
    <row r="58" spans="1:18" ht="28.5" x14ac:dyDescent="0.2">
      <c r="A58" s="179" t="s">
        <v>807</v>
      </c>
      <c r="B58" s="179" t="s">
        <v>833</v>
      </c>
      <c r="C58" s="8" t="s">
        <v>218</v>
      </c>
      <c r="D58" s="201" t="s">
        <v>834</v>
      </c>
      <c r="E58" s="230" t="s">
        <v>856</v>
      </c>
      <c r="F58" s="230" t="s">
        <v>856</v>
      </c>
      <c r="G58" s="234" t="s">
        <v>817</v>
      </c>
      <c r="H58" s="231"/>
      <c r="I58" s="231"/>
      <c r="J58" s="231"/>
      <c r="K58" s="237">
        <v>53.6</v>
      </c>
      <c r="L58" s="231"/>
      <c r="M58" s="231"/>
      <c r="N58" s="231"/>
      <c r="O58" s="188">
        <f t="shared" si="0"/>
        <v>53.6</v>
      </c>
      <c r="P58" s="231"/>
      <c r="Q58" s="231"/>
      <c r="R58" s="188">
        <f t="shared" si="1"/>
        <v>53.6</v>
      </c>
    </row>
    <row r="59" spans="1:18" ht="28.5" x14ac:dyDescent="0.2">
      <c r="A59" s="179" t="s">
        <v>807</v>
      </c>
      <c r="B59" s="179" t="s">
        <v>833</v>
      </c>
      <c r="C59" s="8" t="s">
        <v>218</v>
      </c>
      <c r="D59" s="201" t="s">
        <v>834</v>
      </c>
      <c r="E59" s="230" t="s">
        <v>808</v>
      </c>
      <c r="F59" s="230" t="s">
        <v>808</v>
      </c>
      <c r="G59" s="234" t="s">
        <v>817</v>
      </c>
      <c r="H59" s="231"/>
      <c r="I59" s="231"/>
      <c r="J59" s="231"/>
      <c r="K59" s="237">
        <v>63.2</v>
      </c>
      <c r="L59" s="231"/>
      <c r="M59" s="231"/>
      <c r="N59" s="231"/>
      <c r="O59" s="188">
        <f t="shared" ref="O59" si="36">SUM(J59:N59)</f>
        <v>63.2</v>
      </c>
      <c r="P59" s="231"/>
      <c r="Q59" s="231"/>
      <c r="R59" s="188">
        <f t="shared" ref="R59" si="37">SUM(O59:Q59)</f>
        <v>63.2</v>
      </c>
    </row>
    <row r="60" spans="1:18" ht="28.5" x14ac:dyDescent="0.2">
      <c r="A60" s="179" t="s">
        <v>807</v>
      </c>
      <c r="B60" s="179" t="s">
        <v>833</v>
      </c>
      <c r="C60" s="201" t="s">
        <v>310</v>
      </c>
      <c r="D60" s="201" t="s">
        <v>310</v>
      </c>
      <c r="E60" s="230" t="s">
        <v>763</v>
      </c>
      <c r="F60" s="230" t="s">
        <v>763</v>
      </c>
      <c r="G60" s="234" t="s">
        <v>817</v>
      </c>
      <c r="H60" s="231"/>
      <c r="I60" s="231"/>
      <c r="J60" s="231"/>
      <c r="K60" s="237">
        <v>54.4</v>
      </c>
      <c r="L60" s="231"/>
      <c r="M60" s="231"/>
      <c r="N60" s="231"/>
      <c r="O60" s="188">
        <f t="shared" ref="O60" si="38">SUM(J60:N60)</f>
        <v>54.4</v>
      </c>
      <c r="P60" s="231"/>
      <c r="Q60" s="231"/>
      <c r="R60" s="188">
        <f t="shared" ref="R60" si="39">SUM(O60:Q60)</f>
        <v>54.4</v>
      </c>
    </row>
    <row r="61" spans="1:18" ht="28.5" x14ac:dyDescent="0.2">
      <c r="A61" s="179" t="s">
        <v>809</v>
      </c>
      <c r="B61" s="179" t="s">
        <v>833</v>
      </c>
      <c r="C61" s="201" t="s">
        <v>310</v>
      </c>
      <c r="D61" s="201" t="s">
        <v>310</v>
      </c>
      <c r="E61" s="230" t="s">
        <v>763</v>
      </c>
      <c r="F61" s="230" t="s">
        <v>763</v>
      </c>
      <c r="G61" s="234" t="s">
        <v>817</v>
      </c>
      <c r="H61" s="231"/>
      <c r="I61" s="231"/>
      <c r="J61" s="231"/>
      <c r="K61" s="237">
        <f>49.6</f>
        <v>49.6</v>
      </c>
      <c r="L61" s="231"/>
      <c r="M61" s="231"/>
      <c r="N61" s="231"/>
      <c r="O61" s="188">
        <f t="shared" si="0"/>
        <v>49.6</v>
      </c>
      <c r="P61" s="231"/>
      <c r="Q61" s="231"/>
      <c r="R61" s="188">
        <f t="shared" si="1"/>
        <v>49.6</v>
      </c>
    </row>
    <row r="62" spans="1:18" ht="28.5" x14ac:dyDescent="0.2">
      <c r="A62" s="179" t="s">
        <v>810</v>
      </c>
      <c r="B62" s="179" t="s">
        <v>833</v>
      </c>
      <c r="C62" s="201" t="s">
        <v>310</v>
      </c>
      <c r="D62" s="201" t="s">
        <v>310</v>
      </c>
      <c r="E62" s="230" t="s">
        <v>763</v>
      </c>
      <c r="F62" s="230" t="s">
        <v>763</v>
      </c>
      <c r="G62" s="234" t="s">
        <v>817</v>
      </c>
      <c r="H62" s="231"/>
      <c r="I62" s="231"/>
      <c r="J62" s="231"/>
      <c r="K62" s="237">
        <f>50.08</f>
        <v>50.08</v>
      </c>
      <c r="L62" s="231"/>
      <c r="M62" s="231"/>
      <c r="N62" s="231"/>
      <c r="O62" s="188">
        <f t="shared" si="0"/>
        <v>50.08</v>
      </c>
      <c r="P62" s="231"/>
      <c r="Q62" s="231"/>
      <c r="R62" s="188">
        <f t="shared" si="1"/>
        <v>50.08</v>
      </c>
    </row>
    <row r="63" spans="1:18" ht="28.5" x14ac:dyDescent="0.2">
      <c r="A63" s="179" t="s">
        <v>811</v>
      </c>
      <c r="B63" s="179" t="s">
        <v>833</v>
      </c>
      <c r="C63" s="201" t="s">
        <v>310</v>
      </c>
      <c r="D63" s="201" t="s">
        <v>310</v>
      </c>
      <c r="E63" s="230" t="s">
        <v>763</v>
      </c>
      <c r="F63" s="230" t="s">
        <v>763</v>
      </c>
      <c r="G63" s="234" t="s">
        <v>817</v>
      </c>
      <c r="H63" s="231"/>
      <c r="I63" s="231"/>
      <c r="J63" s="231"/>
      <c r="K63" s="237">
        <v>58.4</v>
      </c>
      <c r="L63" s="231"/>
      <c r="M63" s="231"/>
      <c r="N63" s="231"/>
      <c r="O63" s="188">
        <f t="shared" si="0"/>
        <v>58.4</v>
      </c>
      <c r="P63" s="231"/>
      <c r="Q63" s="231"/>
      <c r="R63" s="188">
        <f t="shared" si="1"/>
        <v>58.4</v>
      </c>
    </row>
    <row r="64" spans="1:18" ht="28.5" x14ac:dyDescent="0.2">
      <c r="A64" s="179" t="s">
        <v>813</v>
      </c>
      <c r="B64" s="179" t="s">
        <v>833</v>
      </c>
      <c r="C64" s="180" t="s">
        <v>842</v>
      </c>
      <c r="D64" s="201" t="s">
        <v>841</v>
      </c>
      <c r="E64" s="230" t="s">
        <v>852</v>
      </c>
      <c r="F64" s="230" t="s">
        <v>852</v>
      </c>
      <c r="G64" s="234" t="s">
        <v>817</v>
      </c>
      <c r="H64" s="231"/>
      <c r="I64" s="231"/>
      <c r="J64" s="231"/>
      <c r="K64" s="237">
        <v>12</v>
      </c>
      <c r="L64" s="231"/>
      <c r="M64" s="231"/>
      <c r="N64" s="231"/>
      <c r="O64" s="188">
        <f t="shared" si="0"/>
        <v>12</v>
      </c>
      <c r="P64" s="231"/>
      <c r="Q64" s="231"/>
      <c r="R64" s="188">
        <f t="shared" si="1"/>
        <v>12</v>
      </c>
    </row>
    <row r="65" spans="1:18" ht="28.5" x14ac:dyDescent="0.2">
      <c r="A65" s="179" t="s">
        <v>813</v>
      </c>
      <c r="B65" s="179" t="s">
        <v>833</v>
      </c>
      <c r="C65" s="201" t="s">
        <v>310</v>
      </c>
      <c r="D65" s="201" t="s">
        <v>310</v>
      </c>
      <c r="E65" s="230" t="s">
        <v>801</v>
      </c>
      <c r="F65" s="230" t="s">
        <v>801</v>
      </c>
      <c r="G65" s="234" t="s">
        <v>817</v>
      </c>
      <c r="H65" s="231"/>
      <c r="I65" s="231"/>
      <c r="J65" s="231"/>
      <c r="K65" s="237">
        <v>16.32</v>
      </c>
      <c r="L65" s="231"/>
      <c r="M65" s="231"/>
      <c r="N65" s="231"/>
      <c r="O65" s="188">
        <f t="shared" ref="O65" si="40">SUM(J65:N65)</f>
        <v>16.32</v>
      </c>
      <c r="P65" s="231"/>
      <c r="Q65" s="231"/>
      <c r="R65" s="188">
        <f t="shared" ref="R65" si="41">SUM(O65:Q65)</f>
        <v>16.32</v>
      </c>
    </row>
    <row r="66" spans="1:18" ht="42.75" x14ac:dyDescent="0.2">
      <c r="A66" s="179" t="s">
        <v>757</v>
      </c>
      <c r="B66" s="179" t="s">
        <v>833</v>
      </c>
      <c r="C66" s="201" t="s">
        <v>310</v>
      </c>
      <c r="D66" s="201" t="s">
        <v>310</v>
      </c>
      <c r="E66" s="230" t="s">
        <v>851</v>
      </c>
      <c r="F66" s="230" t="s">
        <v>851</v>
      </c>
      <c r="G66" s="234" t="s">
        <v>791</v>
      </c>
      <c r="H66" s="231"/>
      <c r="I66" s="231"/>
      <c r="J66" s="231"/>
      <c r="K66" s="237">
        <f>65.6+2.65</f>
        <v>68.25</v>
      </c>
      <c r="L66" s="231"/>
      <c r="M66" s="231"/>
      <c r="N66" s="231"/>
      <c r="O66" s="188">
        <f t="shared" si="0"/>
        <v>68.25</v>
      </c>
      <c r="P66" s="231"/>
      <c r="Q66" s="231"/>
      <c r="R66" s="188">
        <f t="shared" si="1"/>
        <v>68.25</v>
      </c>
    </row>
    <row r="67" spans="1:18" ht="42.75" x14ac:dyDescent="0.2">
      <c r="A67" s="179" t="s">
        <v>757</v>
      </c>
      <c r="B67" s="179" t="s">
        <v>833</v>
      </c>
      <c r="C67" s="201" t="s">
        <v>310</v>
      </c>
      <c r="D67" s="201" t="s">
        <v>310</v>
      </c>
      <c r="E67" s="230" t="s">
        <v>756</v>
      </c>
      <c r="F67" s="230" t="s">
        <v>756</v>
      </c>
      <c r="G67" s="234" t="s">
        <v>791</v>
      </c>
      <c r="H67" s="231"/>
      <c r="I67" s="231"/>
      <c r="J67" s="231"/>
      <c r="K67" s="237">
        <v>27.2</v>
      </c>
      <c r="L67" s="231"/>
      <c r="M67" s="231"/>
      <c r="N67" s="231"/>
      <c r="O67" s="188">
        <f t="shared" ref="O67:O68" si="42">SUM(J67:N67)</f>
        <v>27.2</v>
      </c>
      <c r="P67" s="231"/>
      <c r="Q67" s="231"/>
      <c r="R67" s="188">
        <f t="shared" ref="R67:R68" si="43">SUM(O67:Q67)</f>
        <v>27.2</v>
      </c>
    </row>
    <row r="68" spans="1:18" ht="42.75" x14ac:dyDescent="0.2">
      <c r="A68" s="179" t="s">
        <v>757</v>
      </c>
      <c r="B68" s="179" t="s">
        <v>833</v>
      </c>
      <c r="C68" s="180" t="s">
        <v>842</v>
      </c>
      <c r="D68" s="201" t="s">
        <v>841</v>
      </c>
      <c r="E68" s="230" t="s">
        <v>758</v>
      </c>
      <c r="F68" s="230" t="s">
        <v>758</v>
      </c>
      <c r="G68" s="234" t="s">
        <v>791</v>
      </c>
      <c r="H68" s="231"/>
      <c r="I68" s="231"/>
      <c r="J68" s="231"/>
      <c r="K68" s="237">
        <v>26.4</v>
      </c>
      <c r="L68" s="231"/>
      <c r="M68" s="231"/>
      <c r="N68" s="231"/>
      <c r="O68" s="188">
        <f t="shared" si="42"/>
        <v>26.4</v>
      </c>
      <c r="P68" s="231"/>
      <c r="Q68" s="231"/>
      <c r="R68" s="188">
        <f t="shared" si="43"/>
        <v>26.4</v>
      </c>
    </row>
    <row r="69" spans="1:18" ht="42.75" x14ac:dyDescent="0.2">
      <c r="A69" s="179" t="s">
        <v>759</v>
      </c>
      <c r="B69" s="179" t="s">
        <v>833</v>
      </c>
      <c r="C69" s="201" t="s">
        <v>310</v>
      </c>
      <c r="D69" s="201" t="s">
        <v>310</v>
      </c>
      <c r="E69" s="230" t="s">
        <v>756</v>
      </c>
      <c r="F69" s="230" t="s">
        <v>756</v>
      </c>
      <c r="G69" s="234" t="s">
        <v>791</v>
      </c>
      <c r="H69" s="231"/>
      <c r="I69" s="231"/>
      <c r="J69" s="231"/>
      <c r="K69" s="201">
        <v>48.8</v>
      </c>
      <c r="L69" s="231"/>
      <c r="M69" s="231"/>
      <c r="N69" s="231"/>
      <c r="O69" s="188">
        <f t="shared" si="0"/>
        <v>48.8</v>
      </c>
      <c r="P69" s="231"/>
      <c r="Q69" s="231"/>
      <c r="R69" s="188">
        <f t="shared" si="1"/>
        <v>48.8</v>
      </c>
    </row>
    <row r="70" spans="1:18" ht="25.5" x14ac:dyDescent="0.2">
      <c r="A70" s="179" t="s">
        <v>814</v>
      </c>
      <c r="B70" s="179" t="s">
        <v>833</v>
      </c>
      <c r="C70" s="180" t="s">
        <v>842</v>
      </c>
      <c r="D70" s="201" t="s">
        <v>841</v>
      </c>
      <c r="E70" s="230" t="s">
        <v>815</v>
      </c>
      <c r="F70" s="230" t="s">
        <v>815</v>
      </c>
      <c r="G70" s="234" t="s">
        <v>638</v>
      </c>
      <c r="H70" s="231"/>
      <c r="I70" s="231"/>
      <c r="J70" s="231"/>
      <c r="K70" s="237">
        <f>154.4</f>
        <v>154.4</v>
      </c>
      <c r="L70" s="231"/>
      <c r="M70" s="231"/>
      <c r="N70" s="231"/>
      <c r="O70" s="188">
        <f t="shared" si="0"/>
        <v>154.4</v>
      </c>
      <c r="P70" s="231"/>
      <c r="Q70" s="231"/>
      <c r="R70" s="188">
        <f t="shared" si="1"/>
        <v>154.4</v>
      </c>
    </row>
    <row r="71" spans="1:18" ht="24" x14ac:dyDescent="0.2">
      <c r="A71" s="179" t="s">
        <v>818</v>
      </c>
      <c r="B71" s="179" t="s">
        <v>833</v>
      </c>
      <c r="C71" s="8" t="s">
        <v>218</v>
      </c>
      <c r="D71" s="201" t="s">
        <v>834</v>
      </c>
      <c r="E71" s="230" t="s">
        <v>857</v>
      </c>
      <c r="F71" s="230" t="s">
        <v>857</v>
      </c>
      <c r="G71" s="234" t="s">
        <v>634</v>
      </c>
      <c r="H71" s="231"/>
      <c r="I71" s="231"/>
      <c r="J71" s="231"/>
      <c r="K71" s="237">
        <v>24</v>
      </c>
      <c r="L71" s="231"/>
      <c r="M71" s="231"/>
      <c r="N71" s="231"/>
      <c r="O71" s="188">
        <f t="shared" si="0"/>
        <v>24</v>
      </c>
      <c r="P71" s="231"/>
      <c r="Q71" s="231"/>
      <c r="R71" s="188">
        <f t="shared" si="1"/>
        <v>24</v>
      </c>
    </row>
    <row r="72" spans="1:18" ht="24" x14ac:dyDescent="0.2">
      <c r="A72" s="179" t="s">
        <v>818</v>
      </c>
      <c r="B72" s="179" t="s">
        <v>833</v>
      </c>
      <c r="C72" s="8" t="s">
        <v>218</v>
      </c>
      <c r="D72" s="201" t="s">
        <v>834</v>
      </c>
      <c r="E72" s="230" t="s">
        <v>836</v>
      </c>
      <c r="F72" s="230" t="s">
        <v>836</v>
      </c>
      <c r="G72" s="234" t="s">
        <v>634</v>
      </c>
      <c r="H72" s="231"/>
      <c r="I72" s="231"/>
      <c r="J72" s="231"/>
      <c r="K72" s="237">
        <v>43.2</v>
      </c>
      <c r="L72" s="231"/>
      <c r="M72" s="231"/>
      <c r="N72" s="231"/>
      <c r="O72" s="188">
        <f t="shared" ref="O72:O73" si="44">SUM(J72:N72)</f>
        <v>43.2</v>
      </c>
      <c r="P72" s="231"/>
      <c r="Q72" s="231"/>
      <c r="R72" s="188">
        <f t="shared" ref="R72:R73" si="45">SUM(O72:Q72)</f>
        <v>43.2</v>
      </c>
    </row>
    <row r="73" spans="1:18" ht="24" x14ac:dyDescent="0.2">
      <c r="A73" s="179" t="s">
        <v>818</v>
      </c>
      <c r="B73" s="179" t="s">
        <v>833</v>
      </c>
      <c r="C73" s="8" t="s">
        <v>218</v>
      </c>
      <c r="D73" s="201" t="s">
        <v>834</v>
      </c>
      <c r="E73" s="230" t="s">
        <v>820</v>
      </c>
      <c r="F73" s="230" t="s">
        <v>820</v>
      </c>
      <c r="G73" s="234" t="s">
        <v>634</v>
      </c>
      <c r="H73" s="231"/>
      <c r="I73" s="231"/>
      <c r="J73" s="231"/>
      <c r="K73" s="237">
        <v>29.6</v>
      </c>
      <c r="L73" s="231"/>
      <c r="M73" s="231"/>
      <c r="N73" s="231"/>
      <c r="O73" s="188">
        <f t="shared" si="44"/>
        <v>29.6</v>
      </c>
      <c r="P73" s="231"/>
      <c r="Q73" s="231"/>
      <c r="R73" s="188">
        <f t="shared" si="45"/>
        <v>29.6</v>
      </c>
    </row>
    <row r="74" spans="1:18" x14ac:dyDescent="0.2">
      <c r="A74" s="179" t="s">
        <v>818</v>
      </c>
      <c r="B74" s="179" t="s">
        <v>833</v>
      </c>
      <c r="C74" s="201" t="s">
        <v>310</v>
      </c>
      <c r="D74" s="201" t="s">
        <v>310</v>
      </c>
      <c r="E74" s="230" t="s">
        <v>776</v>
      </c>
      <c r="F74" s="230" t="s">
        <v>776</v>
      </c>
      <c r="G74" s="234" t="s">
        <v>634</v>
      </c>
      <c r="H74" s="231"/>
      <c r="I74" s="231"/>
      <c r="J74" s="231"/>
      <c r="K74" s="237">
        <v>20</v>
      </c>
      <c r="L74" s="231"/>
      <c r="M74" s="231"/>
      <c r="N74" s="231"/>
      <c r="O74" s="188">
        <f t="shared" ref="O74:O76" si="46">SUM(J74:N74)</f>
        <v>20</v>
      </c>
      <c r="P74" s="231"/>
      <c r="Q74" s="231"/>
      <c r="R74" s="188">
        <f t="shared" ref="R74:R76" si="47">SUM(O74:Q74)</f>
        <v>20</v>
      </c>
    </row>
    <row r="75" spans="1:18" ht="25.5" x14ac:dyDescent="0.2">
      <c r="A75" s="179" t="s">
        <v>818</v>
      </c>
      <c r="B75" s="179" t="s">
        <v>833</v>
      </c>
      <c r="C75" s="180" t="s">
        <v>842</v>
      </c>
      <c r="D75" s="201" t="s">
        <v>841</v>
      </c>
      <c r="E75" s="230" t="s">
        <v>858</v>
      </c>
      <c r="F75" s="230" t="s">
        <v>858</v>
      </c>
      <c r="G75" s="234" t="s">
        <v>634</v>
      </c>
      <c r="H75" s="231"/>
      <c r="I75" s="231"/>
      <c r="J75" s="231"/>
      <c r="K75" s="237">
        <v>24</v>
      </c>
      <c r="L75" s="231"/>
      <c r="M75" s="231"/>
      <c r="N75" s="231"/>
      <c r="O75" s="188">
        <f t="shared" si="46"/>
        <v>24</v>
      </c>
      <c r="P75" s="231"/>
      <c r="Q75" s="231"/>
      <c r="R75" s="188">
        <f t="shared" si="47"/>
        <v>24</v>
      </c>
    </row>
    <row r="76" spans="1:18" ht="25.5" x14ac:dyDescent="0.2">
      <c r="A76" s="179" t="s">
        <v>818</v>
      </c>
      <c r="B76" s="179" t="s">
        <v>833</v>
      </c>
      <c r="C76" s="180" t="s">
        <v>842</v>
      </c>
      <c r="D76" s="201" t="s">
        <v>841</v>
      </c>
      <c r="E76" s="230" t="s">
        <v>819</v>
      </c>
      <c r="F76" s="230" t="s">
        <v>819</v>
      </c>
      <c r="G76" s="234" t="s">
        <v>634</v>
      </c>
      <c r="H76" s="231"/>
      <c r="I76" s="231"/>
      <c r="J76" s="231"/>
      <c r="K76" s="237">
        <v>51.2</v>
      </c>
      <c r="L76" s="231"/>
      <c r="M76" s="231"/>
      <c r="N76" s="231"/>
      <c r="O76" s="188">
        <f t="shared" si="46"/>
        <v>51.2</v>
      </c>
      <c r="P76" s="231"/>
      <c r="Q76" s="231"/>
      <c r="R76" s="188">
        <f t="shared" si="47"/>
        <v>51.2</v>
      </c>
    </row>
    <row r="77" spans="1:18" ht="24" x14ac:dyDescent="0.2">
      <c r="A77" s="179" t="s">
        <v>821</v>
      </c>
      <c r="B77" s="179" t="s">
        <v>833</v>
      </c>
      <c r="C77" s="8" t="s">
        <v>218</v>
      </c>
      <c r="D77" s="201" t="s">
        <v>834</v>
      </c>
      <c r="E77" s="230" t="s">
        <v>859</v>
      </c>
      <c r="F77" s="230" t="s">
        <v>859</v>
      </c>
      <c r="G77" s="234" t="s">
        <v>634</v>
      </c>
      <c r="H77" s="231"/>
      <c r="I77" s="231"/>
      <c r="J77" s="231"/>
      <c r="K77" s="237">
        <v>7.2</v>
      </c>
      <c r="L77" s="231"/>
      <c r="M77" s="231"/>
      <c r="N77" s="231"/>
      <c r="O77" s="188">
        <f t="shared" si="0"/>
        <v>7.2</v>
      </c>
      <c r="P77" s="231"/>
      <c r="Q77" s="231"/>
      <c r="R77" s="188">
        <f t="shared" si="1"/>
        <v>7.2</v>
      </c>
    </row>
    <row r="78" spans="1:18" ht="24" x14ac:dyDescent="0.2">
      <c r="A78" s="179" t="s">
        <v>821</v>
      </c>
      <c r="B78" s="179" t="s">
        <v>833</v>
      </c>
      <c r="C78" s="8" t="s">
        <v>218</v>
      </c>
      <c r="D78" s="201" t="s">
        <v>834</v>
      </c>
      <c r="E78" s="230" t="s">
        <v>860</v>
      </c>
      <c r="F78" s="230" t="s">
        <v>860</v>
      </c>
      <c r="G78" s="234" t="s">
        <v>634</v>
      </c>
      <c r="H78" s="231"/>
      <c r="I78" s="231"/>
      <c r="J78" s="231"/>
      <c r="K78" s="237">
        <v>28</v>
      </c>
      <c r="L78" s="231"/>
      <c r="M78" s="231"/>
      <c r="N78" s="231"/>
      <c r="O78" s="188">
        <f t="shared" ref="O78:O81" si="48">SUM(J78:N78)</f>
        <v>28</v>
      </c>
      <c r="P78" s="231"/>
      <c r="Q78" s="231"/>
      <c r="R78" s="188">
        <f t="shared" ref="R78:R81" si="49">SUM(O78:Q78)</f>
        <v>28</v>
      </c>
    </row>
    <row r="79" spans="1:18" x14ac:dyDescent="0.2">
      <c r="A79" s="179" t="s">
        <v>821</v>
      </c>
      <c r="B79" s="179" t="s">
        <v>833</v>
      </c>
      <c r="C79" s="201" t="s">
        <v>310</v>
      </c>
      <c r="D79" s="201" t="s">
        <v>310</v>
      </c>
      <c r="E79" s="230" t="s">
        <v>861</v>
      </c>
      <c r="F79" s="230" t="s">
        <v>861</v>
      </c>
      <c r="G79" s="234" t="s">
        <v>634</v>
      </c>
      <c r="H79" s="231"/>
      <c r="I79" s="231"/>
      <c r="J79" s="231"/>
      <c r="K79" s="237">
        <v>45.6</v>
      </c>
      <c r="L79" s="231"/>
      <c r="M79" s="231"/>
      <c r="N79" s="231"/>
      <c r="O79" s="188">
        <f t="shared" si="48"/>
        <v>45.6</v>
      </c>
      <c r="P79" s="231"/>
      <c r="Q79" s="231"/>
      <c r="R79" s="188">
        <f t="shared" si="49"/>
        <v>45.6</v>
      </c>
    </row>
    <row r="80" spans="1:18" ht="25.5" x14ac:dyDescent="0.2">
      <c r="A80" s="179" t="s">
        <v>821</v>
      </c>
      <c r="B80" s="179" t="s">
        <v>833</v>
      </c>
      <c r="C80" s="180" t="s">
        <v>842</v>
      </c>
      <c r="D80" s="201" t="s">
        <v>841</v>
      </c>
      <c r="E80" s="230" t="s">
        <v>862</v>
      </c>
      <c r="F80" s="230" t="s">
        <v>862</v>
      </c>
      <c r="G80" s="234" t="s">
        <v>634</v>
      </c>
      <c r="H80" s="231"/>
      <c r="I80" s="231"/>
      <c r="J80" s="231"/>
      <c r="K80" s="237">
        <v>8</v>
      </c>
      <c r="L80" s="231"/>
      <c r="M80" s="231"/>
      <c r="N80" s="231"/>
      <c r="O80" s="188">
        <f t="shared" si="48"/>
        <v>8</v>
      </c>
      <c r="P80" s="231"/>
      <c r="Q80" s="231"/>
      <c r="R80" s="188">
        <f t="shared" si="49"/>
        <v>8</v>
      </c>
    </row>
    <row r="81" spans="1:18" ht="24" x14ac:dyDescent="0.2">
      <c r="A81" s="179" t="s">
        <v>821</v>
      </c>
      <c r="B81" s="179" t="s">
        <v>833</v>
      </c>
      <c r="C81" s="8" t="s">
        <v>218</v>
      </c>
      <c r="D81" s="201" t="s">
        <v>834</v>
      </c>
      <c r="E81" s="230" t="s">
        <v>863</v>
      </c>
      <c r="F81" s="230" t="s">
        <v>863</v>
      </c>
      <c r="G81" s="234" t="s">
        <v>634</v>
      </c>
      <c r="H81" s="231"/>
      <c r="I81" s="231"/>
      <c r="J81" s="231"/>
      <c r="K81" s="237">
        <v>8</v>
      </c>
      <c r="L81" s="231"/>
      <c r="M81" s="231"/>
      <c r="N81" s="231"/>
      <c r="O81" s="188">
        <f t="shared" si="48"/>
        <v>8</v>
      </c>
      <c r="P81" s="231"/>
      <c r="Q81" s="231"/>
      <c r="R81" s="188">
        <f t="shared" si="49"/>
        <v>8</v>
      </c>
    </row>
    <row r="82" spans="1:18" ht="42.75" x14ac:dyDescent="0.2">
      <c r="A82" s="179" t="s">
        <v>823</v>
      </c>
      <c r="B82" s="179" t="s">
        <v>833</v>
      </c>
      <c r="C82" s="201" t="s">
        <v>310</v>
      </c>
      <c r="D82" s="201" t="s">
        <v>310</v>
      </c>
      <c r="E82" s="230" t="s">
        <v>776</v>
      </c>
      <c r="F82" s="230" t="s">
        <v>822</v>
      </c>
      <c r="G82" s="233" t="s">
        <v>832</v>
      </c>
      <c r="H82" s="231"/>
      <c r="I82" s="231"/>
      <c r="J82" s="231"/>
      <c r="K82" s="237">
        <f>56.8+114.3</f>
        <v>171.1</v>
      </c>
      <c r="L82" s="237">
        <v>122.72</v>
      </c>
      <c r="M82" s="231">
        <v>28.76</v>
      </c>
      <c r="N82" s="231"/>
      <c r="O82" s="188">
        <f t="shared" si="0"/>
        <v>322.58</v>
      </c>
      <c r="P82" s="231"/>
      <c r="Q82" s="231"/>
      <c r="R82" s="188">
        <f t="shared" si="1"/>
        <v>322.58</v>
      </c>
    </row>
    <row r="83" spans="1:18" ht="42.75" x14ac:dyDescent="0.2">
      <c r="A83" s="179" t="s">
        <v>824</v>
      </c>
      <c r="B83" s="179" t="s">
        <v>833</v>
      </c>
      <c r="C83" s="201" t="s">
        <v>310</v>
      </c>
      <c r="D83" s="201" t="s">
        <v>310</v>
      </c>
      <c r="E83" s="230" t="s">
        <v>756</v>
      </c>
      <c r="F83" s="230" t="s">
        <v>756</v>
      </c>
      <c r="G83" s="234" t="s">
        <v>831</v>
      </c>
      <c r="H83" s="231"/>
      <c r="I83" s="231"/>
      <c r="J83" s="231"/>
      <c r="K83" s="237">
        <f>101.6</f>
        <v>101.6</v>
      </c>
      <c r="L83" s="231"/>
      <c r="M83" s="231"/>
      <c r="N83" s="231"/>
      <c r="O83" s="188">
        <f t="shared" si="0"/>
        <v>101.6</v>
      </c>
      <c r="P83" s="231"/>
      <c r="Q83" s="231"/>
      <c r="R83" s="188">
        <f t="shared" si="1"/>
        <v>101.6</v>
      </c>
    </row>
    <row r="84" spans="1:18" ht="42.75" x14ac:dyDescent="0.2">
      <c r="A84" s="179" t="s">
        <v>825</v>
      </c>
      <c r="B84" s="179" t="s">
        <v>833</v>
      </c>
      <c r="C84" s="201" t="s">
        <v>310</v>
      </c>
      <c r="D84" s="201" t="s">
        <v>310</v>
      </c>
      <c r="E84" s="230" t="s">
        <v>756</v>
      </c>
      <c r="F84" s="230" t="s">
        <v>756</v>
      </c>
      <c r="G84" s="234" t="s">
        <v>831</v>
      </c>
      <c r="H84" s="231"/>
      <c r="I84" s="231"/>
      <c r="J84" s="231"/>
      <c r="K84" s="237">
        <f>40</f>
        <v>40</v>
      </c>
      <c r="L84" s="231"/>
      <c r="M84" s="231"/>
      <c r="N84" s="231"/>
      <c r="O84" s="188">
        <f t="shared" si="0"/>
        <v>40</v>
      </c>
      <c r="P84" s="231"/>
      <c r="Q84" s="231"/>
      <c r="R84" s="188">
        <f t="shared" si="1"/>
        <v>40</v>
      </c>
    </row>
    <row r="85" spans="1:18" ht="42.75" x14ac:dyDescent="0.2">
      <c r="A85" s="179" t="s">
        <v>826</v>
      </c>
      <c r="B85" s="179" t="s">
        <v>833</v>
      </c>
      <c r="C85" s="180" t="s">
        <v>842</v>
      </c>
      <c r="D85" s="201" t="s">
        <v>841</v>
      </c>
      <c r="E85" s="231" t="s">
        <v>830</v>
      </c>
      <c r="F85" s="231" t="s">
        <v>830</v>
      </c>
      <c r="G85" s="234" t="s">
        <v>831</v>
      </c>
      <c r="H85" s="231"/>
      <c r="I85" s="231"/>
      <c r="J85" s="231"/>
      <c r="K85" s="237">
        <v>32</v>
      </c>
      <c r="L85" s="231"/>
      <c r="M85" s="231"/>
      <c r="N85" s="231"/>
      <c r="O85" s="188">
        <f t="shared" si="0"/>
        <v>32</v>
      </c>
      <c r="P85" s="231"/>
      <c r="Q85" s="231"/>
      <c r="R85" s="188">
        <f t="shared" si="1"/>
        <v>32</v>
      </c>
    </row>
    <row r="86" spans="1:18" ht="42.75" x14ac:dyDescent="0.2">
      <c r="A86" s="179" t="s">
        <v>826</v>
      </c>
      <c r="B86" s="179" t="s">
        <v>833</v>
      </c>
      <c r="C86" s="201" t="s">
        <v>310</v>
      </c>
      <c r="D86" s="201" t="s">
        <v>310</v>
      </c>
      <c r="E86" s="231" t="s">
        <v>756</v>
      </c>
      <c r="F86" s="231" t="s">
        <v>756</v>
      </c>
      <c r="G86" s="234" t="s">
        <v>831</v>
      </c>
      <c r="H86" s="231"/>
      <c r="I86" s="231"/>
      <c r="J86" s="231"/>
      <c r="K86" s="237">
        <v>66.34</v>
      </c>
      <c r="L86" s="231"/>
      <c r="M86" s="231"/>
      <c r="N86" s="231"/>
      <c r="O86" s="188">
        <f t="shared" ref="O86" si="50">SUM(J86:N86)</f>
        <v>66.34</v>
      </c>
      <c r="P86" s="231"/>
      <c r="Q86" s="231"/>
      <c r="R86" s="188">
        <f t="shared" ref="R86" si="51">SUM(O86:Q86)</f>
        <v>66.34</v>
      </c>
    </row>
    <row r="87" spans="1:18" ht="42.75" x14ac:dyDescent="0.2">
      <c r="A87" s="179" t="s">
        <v>827</v>
      </c>
      <c r="B87" s="179" t="s">
        <v>833</v>
      </c>
      <c r="C87" s="201" t="s">
        <v>310</v>
      </c>
      <c r="D87" s="201" t="s">
        <v>310</v>
      </c>
      <c r="E87" s="230" t="s">
        <v>756</v>
      </c>
      <c r="F87" s="230" t="s">
        <v>756</v>
      </c>
      <c r="G87" s="234" t="s">
        <v>831</v>
      </c>
      <c r="H87" s="231"/>
      <c r="I87" s="231"/>
      <c r="J87" s="231"/>
      <c r="K87" s="237">
        <f>65.6</f>
        <v>65.599999999999994</v>
      </c>
      <c r="L87" s="231"/>
      <c r="M87" s="231"/>
      <c r="N87" s="231"/>
      <c r="O87" s="188">
        <f t="shared" si="0"/>
        <v>65.599999999999994</v>
      </c>
      <c r="P87" s="231"/>
      <c r="Q87" s="231"/>
      <c r="R87" s="188">
        <f t="shared" si="1"/>
        <v>65.599999999999994</v>
      </c>
    </row>
    <row r="88" spans="1:18" ht="42.75" x14ac:dyDescent="0.2">
      <c r="A88" s="179" t="s">
        <v>828</v>
      </c>
      <c r="B88" s="179" t="s">
        <v>833</v>
      </c>
      <c r="C88" s="201" t="s">
        <v>310</v>
      </c>
      <c r="D88" s="201" t="s">
        <v>310</v>
      </c>
      <c r="E88" s="230" t="s">
        <v>822</v>
      </c>
      <c r="F88" s="230" t="s">
        <v>822</v>
      </c>
      <c r="G88" s="234" t="s">
        <v>832</v>
      </c>
      <c r="H88" s="231"/>
      <c r="I88" s="231"/>
      <c r="J88" s="231"/>
      <c r="K88" s="237">
        <f>95.94</f>
        <v>95.94</v>
      </c>
      <c r="L88" s="237">
        <v>122.72</v>
      </c>
      <c r="M88" s="231"/>
      <c r="N88" s="231"/>
      <c r="O88" s="188">
        <f t="shared" si="0"/>
        <v>218.66</v>
      </c>
      <c r="P88" s="231"/>
      <c r="Q88" s="231"/>
      <c r="R88" s="188">
        <f t="shared" si="1"/>
        <v>218.66</v>
      </c>
    </row>
    <row r="89" spans="1:18" ht="42.75" x14ac:dyDescent="0.2">
      <c r="A89" s="179" t="s">
        <v>829</v>
      </c>
      <c r="B89" s="179" t="s">
        <v>833</v>
      </c>
      <c r="C89" s="201" t="s">
        <v>310</v>
      </c>
      <c r="D89" s="201" t="s">
        <v>310</v>
      </c>
      <c r="E89" s="230" t="s">
        <v>776</v>
      </c>
      <c r="F89" s="230" t="s">
        <v>776</v>
      </c>
      <c r="G89" s="234" t="s">
        <v>831</v>
      </c>
      <c r="H89" s="231"/>
      <c r="I89" s="231"/>
      <c r="J89" s="231"/>
      <c r="K89" s="237">
        <f>41</f>
        <v>41</v>
      </c>
      <c r="L89" s="231"/>
      <c r="M89" s="231"/>
      <c r="N89" s="231"/>
      <c r="O89" s="188">
        <f t="shared" si="0"/>
        <v>41</v>
      </c>
      <c r="P89" s="231"/>
      <c r="Q89" s="231"/>
      <c r="R89" s="188">
        <f t="shared" si="1"/>
        <v>41</v>
      </c>
    </row>
    <row r="90" spans="1:18" x14ac:dyDescent="0.2">
      <c r="J90">
        <f>SUM(J4:J89)</f>
        <v>0</v>
      </c>
      <c r="K90">
        <f>SUM(K4:K89)</f>
        <v>4266.6999999999989</v>
      </c>
      <c r="L90">
        <f>SUM(L4:L89)</f>
        <v>245.44</v>
      </c>
      <c r="M90">
        <f t="shared" ref="M90:R90" si="52">SUM(M4:M89)</f>
        <v>28.76</v>
      </c>
      <c r="N90">
        <f t="shared" si="52"/>
        <v>0</v>
      </c>
      <c r="O90">
        <f t="shared" si="52"/>
        <v>4477.78</v>
      </c>
      <c r="P90">
        <f t="shared" si="52"/>
        <v>0</v>
      </c>
      <c r="Q90">
        <f t="shared" si="52"/>
        <v>0</v>
      </c>
      <c r="R90">
        <f t="shared" si="52"/>
        <v>4477.78</v>
      </c>
    </row>
  </sheetData>
  <pageMargins left="0.7" right="0.7" top="0.75" bottom="0.75" header="0.3" footer="0.3"/>
  <pageSetup scale="5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F856-0CBF-4F1E-B4EF-E1C80A824460}">
  <dimension ref="A1:R44"/>
  <sheetViews>
    <sheetView tabSelected="1" topLeftCell="B1" zoomScale="90" zoomScaleNormal="90" workbookViewId="0">
      <selection activeCell="D29" sqref="D29"/>
    </sheetView>
  </sheetViews>
  <sheetFormatPr defaultColWidth="9" defaultRowHeight="14.25" x14ac:dyDescent="0.2"/>
  <cols>
    <col min="1" max="1" width="24.625" style="240" bestFit="1" customWidth="1"/>
    <col min="2" max="2" width="29.625" style="240" customWidth="1"/>
    <col min="3" max="3" width="53.75" style="251" customWidth="1"/>
    <col min="4" max="4" width="43.625" style="251" customWidth="1"/>
    <col min="5" max="5" width="22.375" style="240" bestFit="1" customWidth="1"/>
    <col min="6" max="6" width="13.625" style="240" bestFit="1" customWidth="1"/>
    <col min="7" max="7" width="26.875" style="240" bestFit="1" customWidth="1"/>
    <col min="8" max="8" width="10" style="240" customWidth="1"/>
    <col min="9" max="9" width="10.875" style="240" customWidth="1"/>
    <col min="10" max="10" width="8.125" style="240" bestFit="1" customWidth="1"/>
    <col min="11" max="11" width="12.375" style="240" customWidth="1"/>
    <col min="12" max="12" width="13.875" style="240" customWidth="1"/>
    <col min="13" max="13" width="10" style="240" bestFit="1" customWidth="1"/>
    <col min="14" max="14" width="9.625" style="240" customWidth="1"/>
    <col min="15" max="15" width="10.625" style="240" customWidth="1"/>
    <col min="16" max="16" width="9.25" style="240" customWidth="1"/>
    <col min="17" max="17" width="8.5" style="240" customWidth="1"/>
    <col min="18" max="18" width="8.125" style="240" bestFit="1" customWidth="1"/>
    <col min="19" max="16384" width="9" style="240"/>
  </cols>
  <sheetData>
    <row r="1" spans="1:18" ht="42.75" x14ac:dyDescent="0.2">
      <c r="A1" s="3" t="s">
        <v>875</v>
      </c>
      <c r="B1" s="3" t="s">
        <v>876</v>
      </c>
      <c r="C1" s="3" t="s">
        <v>877</v>
      </c>
      <c r="D1" s="3" t="s">
        <v>878</v>
      </c>
      <c r="E1" s="238" t="s">
        <v>879</v>
      </c>
      <c r="F1" s="238" t="s">
        <v>880</v>
      </c>
      <c r="G1" s="3" t="s">
        <v>7</v>
      </c>
      <c r="H1" s="3" t="s">
        <v>881</v>
      </c>
      <c r="I1" s="3" t="s">
        <v>882</v>
      </c>
      <c r="J1" s="239" t="s">
        <v>883</v>
      </c>
      <c r="K1" s="239" t="s">
        <v>884</v>
      </c>
      <c r="L1" s="239" t="s">
        <v>885</v>
      </c>
      <c r="M1" s="3" t="s">
        <v>886</v>
      </c>
      <c r="N1" s="3" t="s">
        <v>887</v>
      </c>
      <c r="O1" s="3" t="s">
        <v>888</v>
      </c>
      <c r="P1" s="3" t="s">
        <v>889</v>
      </c>
      <c r="Q1" s="3" t="s">
        <v>890</v>
      </c>
      <c r="R1" s="3" t="s">
        <v>17</v>
      </c>
    </row>
    <row r="2" spans="1:18" ht="28.5" x14ac:dyDescent="0.2">
      <c r="A2" s="215" t="s">
        <v>864</v>
      </c>
      <c r="B2" s="216" t="s">
        <v>891</v>
      </c>
      <c r="C2" s="243" t="s">
        <v>896</v>
      </c>
      <c r="D2" s="243" t="s">
        <v>896</v>
      </c>
      <c r="E2" s="248" t="s">
        <v>918</v>
      </c>
      <c r="F2" s="215" t="s">
        <v>918</v>
      </c>
      <c r="G2" s="241" t="s">
        <v>913</v>
      </c>
      <c r="H2" s="215"/>
      <c r="I2" s="215"/>
      <c r="J2" s="215"/>
      <c r="K2" s="215"/>
      <c r="L2" s="215">
        <v>143.52000000000001</v>
      </c>
      <c r="M2" s="215"/>
      <c r="N2" s="215"/>
      <c r="O2" s="242">
        <f>SUM(H2:N2)</f>
        <v>143.52000000000001</v>
      </c>
      <c r="P2" s="215"/>
      <c r="Q2" s="215"/>
      <c r="R2" s="242">
        <f>SUM(O2:Q2)</f>
        <v>143.52000000000001</v>
      </c>
    </row>
    <row r="3" spans="1:18" ht="28.5" x14ac:dyDescent="0.2">
      <c r="A3" s="215" t="s">
        <v>760</v>
      </c>
      <c r="B3" s="215" t="s">
        <v>891</v>
      </c>
      <c r="C3" s="222" t="s">
        <v>897</v>
      </c>
      <c r="D3" s="243" t="s">
        <v>897</v>
      </c>
      <c r="E3" s="250" t="s">
        <v>947</v>
      </c>
      <c r="F3" s="250" t="s">
        <v>947</v>
      </c>
      <c r="G3" s="235" t="s">
        <v>787</v>
      </c>
      <c r="H3" s="215"/>
      <c r="I3" s="215"/>
      <c r="J3" s="215"/>
      <c r="K3" s="215">
        <v>47.28</v>
      </c>
      <c r="L3" s="215"/>
      <c r="M3" s="215"/>
      <c r="N3" s="215"/>
      <c r="O3" s="242">
        <f t="shared" ref="O3:O43" si="0">SUM(H3:N3)</f>
        <v>47.28</v>
      </c>
      <c r="P3" s="215"/>
      <c r="Q3" s="215"/>
      <c r="R3" s="242">
        <f t="shared" ref="R3:R37" si="1">SUM(O3:Q3)</f>
        <v>47.28</v>
      </c>
    </row>
    <row r="4" spans="1:18" ht="28.5" x14ac:dyDescent="0.2">
      <c r="A4" s="215" t="s">
        <v>865</v>
      </c>
      <c r="B4" s="215" t="s">
        <v>891</v>
      </c>
      <c r="C4" s="223" t="s">
        <v>905</v>
      </c>
      <c r="D4" s="223" t="s">
        <v>905</v>
      </c>
      <c r="E4" s="248" t="s">
        <v>946</v>
      </c>
      <c r="F4" s="248" t="s">
        <v>946</v>
      </c>
      <c r="G4" s="235" t="s">
        <v>866</v>
      </c>
      <c r="H4" s="215"/>
      <c r="I4" s="215"/>
      <c r="J4" s="215"/>
      <c r="K4" s="215">
        <v>98</v>
      </c>
      <c r="L4" s="215"/>
      <c r="M4" s="215"/>
      <c r="N4" s="215"/>
      <c r="O4" s="242">
        <f t="shared" si="0"/>
        <v>98</v>
      </c>
      <c r="P4" s="215"/>
      <c r="Q4" s="215"/>
      <c r="R4" s="242">
        <f t="shared" si="1"/>
        <v>98</v>
      </c>
    </row>
    <row r="5" spans="1:18" ht="28.5" x14ac:dyDescent="0.2">
      <c r="A5" s="215" t="s">
        <v>864</v>
      </c>
      <c r="B5" s="215" t="s">
        <v>891</v>
      </c>
      <c r="C5" s="223" t="s">
        <v>899</v>
      </c>
      <c r="D5" s="223" t="s">
        <v>899</v>
      </c>
      <c r="E5" s="248" t="s">
        <v>945</v>
      </c>
      <c r="F5" s="215" t="s">
        <v>940</v>
      </c>
      <c r="G5" s="235" t="s">
        <v>913</v>
      </c>
      <c r="H5" s="215"/>
      <c r="I5" s="215"/>
      <c r="J5" s="215">
        <f>261.12+280.12+797.5</f>
        <v>1338.74</v>
      </c>
      <c r="K5" s="215">
        <v>72</v>
      </c>
      <c r="L5" s="215">
        <v>309.92</v>
      </c>
      <c r="M5" s="215"/>
      <c r="N5" s="215"/>
      <c r="O5" s="242">
        <f t="shared" si="0"/>
        <v>1720.66</v>
      </c>
      <c r="P5" s="215"/>
      <c r="Q5" s="215"/>
      <c r="R5" s="242">
        <f t="shared" si="1"/>
        <v>1720.66</v>
      </c>
    </row>
    <row r="6" spans="1:18" ht="28.5" x14ac:dyDescent="0.2">
      <c r="A6" s="215" t="s">
        <v>867</v>
      </c>
      <c r="B6" s="215" t="s">
        <v>891</v>
      </c>
      <c r="C6" s="223" t="s">
        <v>899</v>
      </c>
      <c r="D6" s="223" t="s">
        <v>899</v>
      </c>
      <c r="E6" s="248" t="s">
        <v>943</v>
      </c>
      <c r="F6" s="248" t="s">
        <v>944</v>
      </c>
      <c r="G6" s="215"/>
      <c r="H6" s="215"/>
      <c r="I6" s="215"/>
      <c r="J6" s="215">
        <f>227.12+615.03+261.12+23.67</f>
        <v>1126.94</v>
      </c>
      <c r="K6" s="215"/>
      <c r="L6" s="215">
        <f>154.96+143.92+143.92</f>
        <v>442.79999999999995</v>
      </c>
      <c r="M6" s="215"/>
      <c r="N6" s="215"/>
      <c r="O6" s="242">
        <f t="shared" si="0"/>
        <v>1569.74</v>
      </c>
      <c r="P6" s="215"/>
      <c r="Q6" s="215"/>
      <c r="R6" s="242">
        <f t="shared" si="1"/>
        <v>1569.74</v>
      </c>
    </row>
    <row r="7" spans="1:18" ht="28.5" x14ac:dyDescent="0.2">
      <c r="A7" s="224" t="s">
        <v>389</v>
      </c>
      <c r="B7" s="243" t="s">
        <v>894</v>
      </c>
      <c r="C7" s="222" t="s">
        <v>900</v>
      </c>
      <c r="D7" s="243" t="s">
        <v>907</v>
      </c>
      <c r="E7" s="248" t="s">
        <v>942</v>
      </c>
      <c r="F7" s="248" t="s">
        <v>942</v>
      </c>
      <c r="G7" s="235" t="s">
        <v>634</v>
      </c>
      <c r="H7" s="215"/>
      <c r="I7" s="215"/>
      <c r="J7" s="215"/>
      <c r="K7" s="215">
        <v>62.9</v>
      </c>
      <c r="L7" s="215"/>
      <c r="M7" s="215"/>
      <c r="N7" s="215"/>
      <c r="O7" s="242">
        <f t="shared" si="0"/>
        <v>62.9</v>
      </c>
      <c r="P7" s="215"/>
      <c r="Q7" s="215"/>
      <c r="R7" s="242">
        <f t="shared" si="1"/>
        <v>62.9</v>
      </c>
    </row>
    <row r="8" spans="1:18" ht="28.5" x14ac:dyDescent="0.2">
      <c r="A8" s="224" t="s">
        <v>389</v>
      </c>
      <c r="B8" s="243" t="s">
        <v>894</v>
      </c>
      <c r="C8" s="222" t="s">
        <v>900</v>
      </c>
      <c r="D8" s="243" t="s">
        <v>906</v>
      </c>
      <c r="E8" s="248" t="s">
        <v>918</v>
      </c>
      <c r="F8" s="215" t="s">
        <v>919</v>
      </c>
      <c r="G8" s="215" t="s">
        <v>869</v>
      </c>
      <c r="H8" s="215"/>
      <c r="I8" s="215"/>
      <c r="J8" s="215">
        <f>272.25</f>
        <v>272.25</v>
      </c>
      <c r="K8" s="215"/>
      <c r="L8" s="215">
        <v>143.52000000000001</v>
      </c>
      <c r="M8" s="215"/>
      <c r="N8" s="215"/>
      <c r="O8" s="242">
        <f t="shared" si="0"/>
        <v>415.77</v>
      </c>
      <c r="P8" s="215"/>
      <c r="Q8" s="215"/>
      <c r="R8" s="242">
        <f t="shared" si="1"/>
        <v>415.77</v>
      </c>
    </row>
    <row r="9" spans="1:18" ht="28.5" x14ac:dyDescent="0.2">
      <c r="A9" s="215" t="s">
        <v>797</v>
      </c>
      <c r="B9" s="215" t="s">
        <v>891</v>
      </c>
      <c r="C9" s="243" t="s">
        <v>896</v>
      </c>
      <c r="D9" s="243" t="s">
        <v>896</v>
      </c>
      <c r="E9" s="248" t="s">
        <v>920</v>
      </c>
      <c r="F9" s="215" t="s">
        <v>920</v>
      </c>
      <c r="G9" s="235" t="s">
        <v>915</v>
      </c>
      <c r="H9" s="215"/>
      <c r="I9" s="215"/>
      <c r="J9" s="215"/>
      <c r="K9" s="215">
        <v>76.8</v>
      </c>
      <c r="L9" s="215"/>
      <c r="M9" s="215"/>
      <c r="N9" s="215"/>
      <c r="O9" s="242">
        <f t="shared" si="0"/>
        <v>76.8</v>
      </c>
      <c r="P9" s="215"/>
      <c r="Q9" s="215"/>
      <c r="R9" s="242">
        <f t="shared" si="1"/>
        <v>76.8</v>
      </c>
    </row>
    <row r="10" spans="1:18" ht="28.5" x14ac:dyDescent="0.2">
      <c r="A10" s="215" t="s">
        <v>795</v>
      </c>
      <c r="B10" s="215" t="s">
        <v>891</v>
      </c>
      <c r="C10" s="243" t="s">
        <v>896</v>
      </c>
      <c r="D10" s="243" t="s">
        <v>896</v>
      </c>
      <c r="E10" s="248" t="s">
        <v>920</v>
      </c>
      <c r="F10" s="215" t="s">
        <v>920</v>
      </c>
      <c r="G10" s="235" t="s">
        <v>915</v>
      </c>
      <c r="H10" s="215"/>
      <c r="I10" s="215"/>
      <c r="J10" s="215"/>
      <c r="K10" s="215">
        <v>87.2</v>
      </c>
      <c r="L10" s="215"/>
      <c r="M10" s="215"/>
      <c r="N10" s="215"/>
      <c r="O10" s="242">
        <f t="shared" si="0"/>
        <v>87.2</v>
      </c>
      <c r="P10" s="215"/>
      <c r="Q10" s="215"/>
      <c r="R10" s="242">
        <f t="shared" si="1"/>
        <v>87.2</v>
      </c>
    </row>
    <row r="11" spans="1:18" ht="28.5" x14ac:dyDescent="0.2">
      <c r="A11" s="215" t="s">
        <v>796</v>
      </c>
      <c r="B11" s="215" t="s">
        <v>891</v>
      </c>
      <c r="C11" s="243" t="s">
        <v>896</v>
      </c>
      <c r="D11" s="243" t="s">
        <v>896</v>
      </c>
      <c r="E11" s="248" t="s">
        <v>920</v>
      </c>
      <c r="F11" s="215" t="s">
        <v>920</v>
      </c>
      <c r="G11" s="235" t="s">
        <v>915</v>
      </c>
      <c r="H11" s="215"/>
      <c r="I11" s="215"/>
      <c r="J11" s="215"/>
      <c r="K11" s="215">
        <v>45.68</v>
      </c>
      <c r="L11" s="215"/>
      <c r="M11" s="215"/>
      <c r="N11" s="215"/>
      <c r="O11" s="242">
        <f t="shared" si="0"/>
        <v>45.68</v>
      </c>
      <c r="P11" s="215"/>
      <c r="Q11" s="215"/>
      <c r="R11" s="242">
        <f t="shared" si="1"/>
        <v>45.68</v>
      </c>
    </row>
    <row r="12" spans="1:18" ht="28.5" x14ac:dyDescent="0.2">
      <c r="A12" s="215" t="s">
        <v>824</v>
      </c>
      <c r="B12" s="215" t="s">
        <v>891</v>
      </c>
      <c r="C12" s="243" t="s">
        <v>896</v>
      </c>
      <c r="D12" s="243" t="s">
        <v>896</v>
      </c>
      <c r="E12" s="248" t="s">
        <v>917</v>
      </c>
      <c r="F12" s="215" t="s">
        <v>917</v>
      </c>
      <c r="G12" s="235" t="s">
        <v>914</v>
      </c>
      <c r="H12" s="215"/>
      <c r="I12" s="215"/>
      <c r="J12" s="215"/>
      <c r="K12" s="215">
        <v>104.96</v>
      </c>
      <c r="L12" s="215"/>
      <c r="M12" s="215"/>
      <c r="N12" s="215"/>
      <c r="O12" s="242">
        <f t="shared" si="0"/>
        <v>104.96</v>
      </c>
      <c r="P12" s="215"/>
      <c r="Q12" s="215"/>
      <c r="R12" s="242">
        <f t="shared" si="1"/>
        <v>104.96</v>
      </c>
    </row>
    <row r="13" spans="1:18" ht="28.5" x14ac:dyDescent="0.2">
      <c r="A13" s="215" t="s">
        <v>827</v>
      </c>
      <c r="B13" s="215" t="s">
        <v>891</v>
      </c>
      <c r="C13" s="243" t="s">
        <v>896</v>
      </c>
      <c r="D13" s="243" t="s">
        <v>896</v>
      </c>
      <c r="E13" s="248" t="s">
        <v>917</v>
      </c>
      <c r="F13" s="215" t="s">
        <v>917</v>
      </c>
      <c r="G13" s="235" t="s">
        <v>914</v>
      </c>
      <c r="H13" s="215"/>
      <c r="I13" s="215"/>
      <c r="J13" s="215"/>
      <c r="K13" s="215">
        <v>69.7</v>
      </c>
      <c r="L13" s="215"/>
      <c r="M13" s="215"/>
      <c r="N13" s="215"/>
      <c r="O13" s="242">
        <f t="shared" si="0"/>
        <v>69.7</v>
      </c>
      <c r="P13" s="215"/>
      <c r="Q13" s="215"/>
      <c r="R13" s="242">
        <f t="shared" si="1"/>
        <v>69.7</v>
      </c>
    </row>
    <row r="14" spans="1:18" ht="28.5" x14ac:dyDescent="0.2">
      <c r="A14" s="215" t="s">
        <v>826</v>
      </c>
      <c r="B14" s="215" t="s">
        <v>891</v>
      </c>
      <c r="C14" s="243" t="s">
        <v>896</v>
      </c>
      <c r="D14" s="243" t="s">
        <v>896</v>
      </c>
      <c r="E14" s="248" t="s">
        <v>917</v>
      </c>
      <c r="F14" s="215" t="s">
        <v>917</v>
      </c>
      <c r="G14" s="235" t="s">
        <v>914</v>
      </c>
      <c r="H14" s="215"/>
      <c r="I14" s="215"/>
      <c r="J14" s="215"/>
      <c r="K14" s="215">
        <v>64</v>
      </c>
      <c r="L14" s="215"/>
      <c r="M14" s="215"/>
      <c r="N14" s="215"/>
      <c r="O14" s="242">
        <f t="shared" si="0"/>
        <v>64</v>
      </c>
      <c r="P14" s="215"/>
      <c r="Q14" s="215"/>
      <c r="R14" s="242">
        <f t="shared" si="1"/>
        <v>64</v>
      </c>
    </row>
    <row r="15" spans="1:18" ht="28.5" x14ac:dyDescent="0.2">
      <c r="A15" s="216" t="s">
        <v>868</v>
      </c>
      <c r="B15" s="215" t="s">
        <v>891</v>
      </c>
      <c r="C15" s="243" t="s">
        <v>896</v>
      </c>
      <c r="D15" s="243" t="s">
        <v>896</v>
      </c>
      <c r="E15" s="248" t="s">
        <v>917</v>
      </c>
      <c r="F15" s="215" t="s">
        <v>917</v>
      </c>
      <c r="G15" s="235" t="s">
        <v>914</v>
      </c>
      <c r="H15" s="215"/>
      <c r="I15" s="215"/>
      <c r="J15" s="215"/>
      <c r="K15" s="215">
        <v>42.23</v>
      </c>
      <c r="L15" s="215"/>
      <c r="M15" s="215"/>
      <c r="N15" s="215"/>
      <c r="O15" s="242">
        <f t="shared" si="0"/>
        <v>42.23</v>
      </c>
      <c r="P15" s="215"/>
      <c r="Q15" s="215"/>
      <c r="R15" s="242">
        <f t="shared" si="1"/>
        <v>42.23</v>
      </c>
    </row>
    <row r="16" spans="1:18" ht="28.5" x14ac:dyDescent="0.2">
      <c r="A16" s="216" t="s">
        <v>576</v>
      </c>
      <c r="B16" s="216" t="s">
        <v>893</v>
      </c>
      <c r="C16" s="222" t="s">
        <v>901</v>
      </c>
      <c r="D16" s="243" t="s">
        <v>908</v>
      </c>
      <c r="E16" s="248" t="s">
        <v>921</v>
      </c>
      <c r="F16" s="215" t="s">
        <v>921</v>
      </c>
      <c r="G16" s="215" t="s">
        <v>128</v>
      </c>
      <c r="H16" s="215"/>
      <c r="I16" s="215"/>
      <c r="J16" s="215"/>
      <c r="K16" s="215">
        <f>111.2+10.62</f>
        <v>121.82000000000001</v>
      </c>
      <c r="L16" s="215"/>
      <c r="M16" s="215"/>
      <c r="N16" s="215"/>
      <c r="O16" s="242">
        <f t="shared" si="0"/>
        <v>121.82000000000001</v>
      </c>
      <c r="P16" s="215"/>
      <c r="Q16" s="215"/>
      <c r="R16" s="242">
        <f t="shared" si="1"/>
        <v>121.82000000000001</v>
      </c>
    </row>
    <row r="17" spans="1:18" ht="28.5" x14ac:dyDescent="0.2">
      <c r="A17" s="216" t="s">
        <v>576</v>
      </c>
      <c r="B17" s="216" t="s">
        <v>893</v>
      </c>
      <c r="C17" s="222" t="s">
        <v>901</v>
      </c>
      <c r="D17" s="243" t="s">
        <v>909</v>
      </c>
      <c r="E17" s="248" t="s">
        <v>922</v>
      </c>
      <c r="F17" s="215" t="s">
        <v>923</v>
      </c>
      <c r="G17" s="215" t="s">
        <v>93</v>
      </c>
      <c r="H17" s="215"/>
      <c r="I17" s="215"/>
      <c r="J17" s="215"/>
      <c r="K17" s="215">
        <f>256.8+15+10.62</f>
        <v>282.42</v>
      </c>
      <c r="L17" s="215">
        <v>126.88</v>
      </c>
      <c r="M17" s="215">
        <v>30.97</v>
      </c>
      <c r="N17" s="215"/>
      <c r="O17" s="242">
        <f t="shared" si="0"/>
        <v>440.27</v>
      </c>
      <c r="P17" s="215"/>
      <c r="Q17" s="215"/>
      <c r="R17" s="242">
        <f t="shared" si="1"/>
        <v>440.27</v>
      </c>
    </row>
    <row r="18" spans="1:18" ht="28.5" x14ac:dyDescent="0.2">
      <c r="A18" s="215" t="s">
        <v>783</v>
      </c>
      <c r="B18" s="215" t="s">
        <v>891</v>
      </c>
      <c r="C18" s="223" t="s">
        <v>899</v>
      </c>
      <c r="D18" s="223" t="s">
        <v>899</v>
      </c>
      <c r="E18" s="248" t="s">
        <v>940</v>
      </c>
      <c r="F18" s="248" t="s">
        <v>940</v>
      </c>
      <c r="G18" s="235" t="s">
        <v>916</v>
      </c>
      <c r="H18" s="215"/>
      <c r="I18" s="215"/>
      <c r="J18" s="215"/>
      <c r="K18" s="215">
        <f>62+9.18</f>
        <v>71.180000000000007</v>
      </c>
      <c r="L18" s="215"/>
      <c r="M18" s="215"/>
      <c r="N18" s="215"/>
      <c r="O18" s="242">
        <f t="shared" si="0"/>
        <v>71.180000000000007</v>
      </c>
      <c r="P18" s="215"/>
      <c r="Q18" s="215"/>
      <c r="R18" s="242">
        <f t="shared" si="1"/>
        <v>71.180000000000007</v>
      </c>
    </row>
    <row r="19" spans="1:18" ht="28.5" x14ac:dyDescent="0.2">
      <c r="A19" s="215" t="s">
        <v>818</v>
      </c>
      <c r="B19" s="215" t="s">
        <v>891</v>
      </c>
      <c r="C19" s="223" t="s">
        <v>896</v>
      </c>
      <c r="D19" s="223" t="s">
        <v>896</v>
      </c>
      <c r="E19" s="248" t="s">
        <v>941</v>
      </c>
      <c r="F19" s="248" t="s">
        <v>941</v>
      </c>
      <c r="G19" s="235" t="s">
        <v>634</v>
      </c>
      <c r="H19" s="215"/>
      <c r="I19" s="215"/>
      <c r="J19" s="215"/>
      <c r="K19" s="215">
        <v>33.6</v>
      </c>
      <c r="L19" s="215"/>
      <c r="M19" s="215"/>
      <c r="N19" s="215"/>
      <c r="O19" s="242">
        <f t="shared" si="0"/>
        <v>33.6</v>
      </c>
      <c r="P19" s="215"/>
      <c r="Q19" s="215"/>
      <c r="R19" s="242">
        <f t="shared" si="1"/>
        <v>33.6</v>
      </c>
    </row>
    <row r="20" spans="1:18" ht="28.5" x14ac:dyDescent="0.2">
      <c r="A20" s="216" t="s">
        <v>745</v>
      </c>
      <c r="B20" s="216" t="s">
        <v>892</v>
      </c>
      <c r="C20" s="222" t="s">
        <v>898</v>
      </c>
      <c r="D20" s="223" t="s">
        <v>898</v>
      </c>
      <c r="E20" s="248" t="s">
        <v>930</v>
      </c>
      <c r="F20" s="215" t="s">
        <v>939</v>
      </c>
      <c r="G20" s="215" t="s">
        <v>18</v>
      </c>
      <c r="H20" s="215"/>
      <c r="I20" s="215"/>
      <c r="J20" s="246"/>
      <c r="K20" s="246">
        <v>36</v>
      </c>
      <c r="L20" s="246">
        <v>150.80000000000001</v>
      </c>
      <c r="M20" s="246"/>
      <c r="N20" s="215"/>
      <c r="O20" s="242">
        <f>SUM(H20:N20)</f>
        <v>186.8</v>
      </c>
      <c r="P20" s="215"/>
      <c r="Q20" s="215"/>
      <c r="R20" s="242">
        <f t="shared" si="1"/>
        <v>186.8</v>
      </c>
    </row>
    <row r="21" spans="1:18" ht="28.5" x14ac:dyDescent="0.2">
      <c r="A21" s="216" t="s">
        <v>410</v>
      </c>
      <c r="B21" s="216" t="s">
        <v>892</v>
      </c>
      <c r="C21" s="222" t="s">
        <v>898</v>
      </c>
      <c r="D21" s="223" t="s">
        <v>898</v>
      </c>
      <c r="E21" s="248" t="s">
        <v>930</v>
      </c>
      <c r="F21" s="215" t="s">
        <v>939</v>
      </c>
      <c r="G21" s="215" t="s">
        <v>18</v>
      </c>
      <c r="H21" s="215"/>
      <c r="I21" s="215"/>
      <c r="J21" s="246"/>
      <c r="K21" s="246">
        <v>36</v>
      </c>
      <c r="L21" s="246">
        <v>150.80000000000001</v>
      </c>
      <c r="M21" s="246"/>
      <c r="N21" s="215"/>
      <c r="O21" s="242">
        <f t="shared" ref="O21:O24" si="2">SUM(H21:N21)</f>
        <v>186.8</v>
      </c>
      <c r="P21" s="215"/>
      <c r="Q21" s="215"/>
      <c r="R21" s="242">
        <f t="shared" si="1"/>
        <v>186.8</v>
      </c>
    </row>
    <row r="22" spans="1:18" ht="28.5" x14ac:dyDescent="0.2">
      <c r="A22" s="216" t="s">
        <v>753</v>
      </c>
      <c r="B22" s="216" t="s">
        <v>892</v>
      </c>
      <c r="C22" s="222" t="s">
        <v>898</v>
      </c>
      <c r="D22" s="223" t="s">
        <v>898</v>
      </c>
      <c r="E22" s="248" t="s">
        <v>930</v>
      </c>
      <c r="F22" s="215" t="s">
        <v>939</v>
      </c>
      <c r="G22" s="215" t="s">
        <v>18</v>
      </c>
      <c r="H22" s="215"/>
      <c r="I22" s="215"/>
      <c r="J22" s="246"/>
      <c r="K22" s="246"/>
      <c r="L22" s="246">
        <v>301.60000000000002</v>
      </c>
      <c r="M22" s="246"/>
      <c r="N22" s="215"/>
      <c r="O22" s="242">
        <f t="shared" si="2"/>
        <v>301.60000000000002</v>
      </c>
      <c r="P22" s="215"/>
      <c r="Q22" s="215"/>
      <c r="R22" s="242">
        <f t="shared" si="1"/>
        <v>301.60000000000002</v>
      </c>
    </row>
    <row r="23" spans="1:18" ht="28.5" x14ac:dyDescent="0.2">
      <c r="A23" s="216" t="s">
        <v>740</v>
      </c>
      <c r="B23" s="216" t="s">
        <v>892</v>
      </c>
      <c r="C23" s="222" t="s">
        <v>898</v>
      </c>
      <c r="D23" s="223" t="s">
        <v>898</v>
      </c>
      <c r="E23" s="248" t="s">
        <v>930</v>
      </c>
      <c r="F23" s="215" t="s">
        <v>939</v>
      </c>
      <c r="G23" s="215" t="s">
        <v>18</v>
      </c>
      <c r="H23" s="215"/>
      <c r="I23" s="215"/>
      <c r="J23" s="246"/>
      <c r="K23" s="246"/>
      <c r="L23" s="246">
        <v>150.80000000000001</v>
      </c>
      <c r="M23" s="246"/>
      <c r="N23" s="215"/>
      <c r="O23" s="242">
        <f t="shared" si="2"/>
        <v>150.80000000000001</v>
      </c>
      <c r="P23" s="215"/>
      <c r="Q23" s="215"/>
      <c r="R23" s="242">
        <f t="shared" si="1"/>
        <v>150.80000000000001</v>
      </c>
    </row>
    <row r="24" spans="1:18" ht="28.5" x14ac:dyDescent="0.2">
      <c r="A24" s="216" t="s">
        <v>741</v>
      </c>
      <c r="B24" s="216" t="s">
        <v>892</v>
      </c>
      <c r="C24" s="222" t="s">
        <v>898</v>
      </c>
      <c r="D24" s="223" t="s">
        <v>898</v>
      </c>
      <c r="E24" s="248" t="s">
        <v>930</v>
      </c>
      <c r="F24" s="215" t="s">
        <v>939</v>
      </c>
      <c r="G24" s="215" t="s">
        <v>18</v>
      </c>
      <c r="H24" s="215"/>
      <c r="I24" s="215"/>
      <c r="J24" s="246"/>
      <c r="K24" s="246"/>
      <c r="L24" s="246">
        <v>150.80000000000001</v>
      </c>
      <c r="M24" s="246"/>
      <c r="N24" s="215"/>
      <c r="O24" s="242">
        <f t="shared" si="2"/>
        <v>150.80000000000001</v>
      </c>
      <c r="P24" s="215"/>
      <c r="Q24" s="215"/>
      <c r="R24" s="242">
        <f t="shared" si="1"/>
        <v>150.80000000000001</v>
      </c>
    </row>
    <row r="25" spans="1:18" ht="28.5" x14ac:dyDescent="0.2">
      <c r="A25" s="216" t="s">
        <v>576</v>
      </c>
      <c r="B25" s="216" t="s">
        <v>893</v>
      </c>
      <c r="C25" s="243" t="s">
        <v>902</v>
      </c>
      <c r="D25" s="223" t="s">
        <v>912</v>
      </c>
      <c r="E25" s="248" t="s">
        <v>936</v>
      </c>
      <c r="F25" s="248" t="s">
        <v>937</v>
      </c>
      <c r="G25" s="215" t="s">
        <v>870</v>
      </c>
      <c r="H25" s="215"/>
      <c r="I25" s="215"/>
      <c r="J25" s="215"/>
      <c r="K25" s="215">
        <f>37.17+186.4</f>
        <v>223.57</v>
      </c>
      <c r="L25" s="215">
        <f>179+8.09</f>
        <v>187.09</v>
      </c>
      <c r="M25" s="215">
        <v>39.82</v>
      </c>
      <c r="N25" s="215"/>
      <c r="O25" s="242">
        <f t="shared" si="0"/>
        <v>450.47999999999996</v>
      </c>
      <c r="P25" s="215"/>
      <c r="Q25" s="215"/>
      <c r="R25" s="242">
        <f t="shared" si="1"/>
        <v>450.47999999999996</v>
      </c>
    </row>
    <row r="26" spans="1:18" ht="28.5" x14ac:dyDescent="0.2">
      <c r="A26" s="224" t="s">
        <v>31</v>
      </c>
      <c r="B26" s="244" t="s">
        <v>895</v>
      </c>
      <c r="C26" s="243" t="s">
        <v>902</v>
      </c>
      <c r="D26" s="223" t="s">
        <v>912</v>
      </c>
      <c r="E26" s="248" t="s">
        <v>936</v>
      </c>
      <c r="F26" s="215" t="s">
        <v>938</v>
      </c>
      <c r="G26" s="215" t="s">
        <v>870</v>
      </c>
      <c r="H26" s="215"/>
      <c r="I26" s="215"/>
      <c r="J26" s="215"/>
      <c r="K26" s="215">
        <f>91.42+98</f>
        <v>189.42000000000002</v>
      </c>
      <c r="L26" s="215">
        <v>558.48</v>
      </c>
      <c r="M26" s="215"/>
      <c r="N26" s="215"/>
      <c r="O26" s="242">
        <f t="shared" si="0"/>
        <v>747.90000000000009</v>
      </c>
      <c r="P26" s="215"/>
      <c r="Q26" s="215"/>
      <c r="R26" s="242">
        <f t="shared" si="1"/>
        <v>747.90000000000009</v>
      </c>
    </row>
    <row r="27" spans="1:18" ht="28.5" x14ac:dyDescent="0.2">
      <c r="A27" s="216" t="s">
        <v>576</v>
      </c>
      <c r="B27" s="216" t="s">
        <v>893</v>
      </c>
      <c r="C27" s="243" t="s">
        <v>902</v>
      </c>
      <c r="D27" s="223" t="s">
        <v>912</v>
      </c>
      <c r="E27" s="248" t="s">
        <v>937</v>
      </c>
      <c r="F27" s="248" t="s">
        <v>937</v>
      </c>
      <c r="G27" s="215" t="s">
        <v>871</v>
      </c>
      <c r="H27" s="215"/>
      <c r="I27" s="215"/>
      <c r="J27" s="215"/>
      <c r="K27" s="215">
        <f>2.65+160.4</f>
        <v>163.05000000000001</v>
      </c>
      <c r="L27" s="215"/>
      <c r="M27" s="215">
        <v>39.82</v>
      </c>
      <c r="N27" s="215"/>
      <c r="O27" s="242">
        <f t="shared" si="0"/>
        <v>202.87</v>
      </c>
      <c r="P27" s="215"/>
      <c r="Q27" s="215"/>
      <c r="R27" s="242">
        <f t="shared" si="1"/>
        <v>202.87</v>
      </c>
    </row>
    <row r="28" spans="1:18" ht="28.5" x14ac:dyDescent="0.2">
      <c r="A28" s="216" t="s">
        <v>576</v>
      </c>
      <c r="B28" s="216" t="s">
        <v>893</v>
      </c>
      <c r="C28" s="243" t="s">
        <v>902</v>
      </c>
      <c r="D28" s="223" t="s">
        <v>912</v>
      </c>
      <c r="E28" s="248" t="s">
        <v>936</v>
      </c>
      <c r="F28" s="248" t="s">
        <v>936</v>
      </c>
      <c r="G28" s="215" t="s">
        <v>872</v>
      </c>
      <c r="H28" s="215"/>
      <c r="I28" s="215"/>
      <c r="J28" s="215"/>
      <c r="K28" s="215">
        <f>24</f>
        <v>24</v>
      </c>
      <c r="L28" s="215">
        <v>30</v>
      </c>
      <c r="M28" s="215"/>
      <c r="N28" s="215"/>
      <c r="O28" s="242">
        <f t="shared" si="0"/>
        <v>54</v>
      </c>
      <c r="P28" s="215"/>
      <c r="Q28" s="215"/>
      <c r="R28" s="242">
        <f t="shared" si="1"/>
        <v>54</v>
      </c>
    </row>
    <row r="29" spans="1:18" ht="28.5" x14ac:dyDescent="0.2">
      <c r="A29" s="216" t="s">
        <v>576</v>
      </c>
      <c r="B29" s="216" t="s">
        <v>893</v>
      </c>
      <c r="C29" s="243" t="s">
        <v>903</v>
      </c>
      <c r="D29" s="243" t="s">
        <v>903</v>
      </c>
      <c r="E29" s="248" t="s">
        <v>920</v>
      </c>
      <c r="F29" s="215" t="s">
        <v>920</v>
      </c>
      <c r="G29" s="215" t="s">
        <v>872</v>
      </c>
      <c r="H29" s="215"/>
      <c r="I29" s="215"/>
      <c r="J29" s="215"/>
      <c r="K29" s="215">
        <v>48</v>
      </c>
      <c r="L29" s="215"/>
      <c r="M29" s="215"/>
      <c r="N29" s="215"/>
      <c r="O29" s="242">
        <f t="shared" si="0"/>
        <v>48</v>
      </c>
      <c r="P29" s="215"/>
      <c r="Q29" s="215"/>
      <c r="R29" s="242">
        <f t="shared" si="1"/>
        <v>48</v>
      </c>
    </row>
    <row r="30" spans="1:18" ht="42.75" x14ac:dyDescent="0.2">
      <c r="A30" s="216" t="s">
        <v>576</v>
      </c>
      <c r="B30" s="216" t="s">
        <v>893</v>
      </c>
      <c r="C30" s="243" t="s">
        <v>904</v>
      </c>
      <c r="D30" s="243" t="s">
        <v>911</v>
      </c>
      <c r="E30" s="248" t="s">
        <v>935</v>
      </c>
      <c r="F30" s="248" t="s">
        <v>935</v>
      </c>
      <c r="G30" s="215" t="s">
        <v>873</v>
      </c>
      <c r="H30" s="215"/>
      <c r="I30" s="215"/>
      <c r="J30" s="215"/>
      <c r="K30" s="215">
        <v>145.6</v>
      </c>
      <c r="L30" s="215"/>
      <c r="M30" s="215"/>
      <c r="N30" s="215"/>
      <c r="O30" s="242">
        <f t="shared" si="0"/>
        <v>145.6</v>
      </c>
      <c r="P30" s="215"/>
      <c r="Q30" s="215"/>
      <c r="R30" s="242">
        <f t="shared" si="1"/>
        <v>145.6</v>
      </c>
    </row>
    <row r="31" spans="1:18" ht="36.75" customHeight="1" x14ac:dyDescent="0.2">
      <c r="A31" s="216" t="s">
        <v>576</v>
      </c>
      <c r="B31" s="216" t="s">
        <v>893</v>
      </c>
      <c r="C31" s="243" t="s">
        <v>902</v>
      </c>
      <c r="D31" s="223" t="s">
        <v>910</v>
      </c>
      <c r="E31" s="248" t="s">
        <v>934</v>
      </c>
      <c r="F31" s="248" t="s">
        <v>934</v>
      </c>
      <c r="G31" s="215" t="s">
        <v>874</v>
      </c>
      <c r="H31" s="215"/>
      <c r="I31" s="215"/>
      <c r="J31" s="215"/>
      <c r="K31" s="215">
        <v>83.2</v>
      </c>
      <c r="L31" s="215"/>
      <c r="M31" s="215"/>
      <c r="N31" s="215"/>
      <c r="O31" s="242">
        <f t="shared" si="0"/>
        <v>83.2</v>
      </c>
      <c r="P31" s="215"/>
      <c r="Q31" s="215"/>
      <c r="R31" s="242">
        <f t="shared" si="1"/>
        <v>83.2</v>
      </c>
    </row>
    <row r="32" spans="1:18" ht="28.5" x14ac:dyDescent="0.2">
      <c r="A32" s="224" t="s">
        <v>31</v>
      </c>
      <c r="B32" s="244" t="s">
        <v>895</v>
      </c>
      <c r="C32" s="243" t="s">
        <v>902</v>
      </c>
      <c r="D32" s="243" t="s">
        <v>902</v>
      </c>
      <c r="E32" s="248" t="s">
        <v>924</v>
      </c>
      <c r="F32" s="215" t="s">
        <v>925</v>
      </c>
      <c r="G32" s="215" t="s">
        <v>18</v>
      </c>
      <c r="H32" s="215"/>
      <c r="I32" s="215"/>
      <c r="J32" s="215"/>
      <c r="K32" s="215">
        <v>44.83</v>
      </c>
      <c r="L32" s="215"/>
      <c r="M32" s="215"/>
      <c r="N32" s="215"/>
      <c r="O32" s="242">
        <f t="shared" si="0"/>
        <v>44.83</v>
      </c>
      <c r="P32" s="215"/>
      <c r="Q32" s="215"/>
      <c r="R32" s="242">
        <f t="shared" si="1"/>
        <v>44.83</v>
      </c>
    </row>
    <row r="33" spans="1:18" ht="28.5" x14ac:dyDescent="0.2">
      <c r="A33" s="215" t="s">
        <v>744</v>
      </c>
      <c r="B33" s="216" t="s">
        <v>892</v>
      </c>
      <c r="C33" s="222" t="s">
        <v>898</v>
      </c>
      <c r="D33" s="223" t="s">
        <v>898</v>
      </c>
      <c r="E33" s="250" t="s">
        <v>933</v>
      </c>
      <c r="F33" s="250" t="s">
        <v>933</v>
      </c>
      <c r="G33" s="215" t="s">
        <v>18</v>
      </c>
      <c r="H33" s="215"/>
      <c r="I33" s="215"/>
      <c r="J33" s="246"/>
      <c r="K33" s="246">
        <v>48</v>
      </c>
      <c r="L33" s="246"/>
      <c r="M33" s="246"/>
      <c r="N33" s="215"/>
      <c r="O33" s="242">
        <f t="shared" si="0"/>
        <v>48</v>
      </c>
      <c r="P33" s="215"/>
      <c r="Q33" s="215"/>
      <c r="R33" s="242">
        <f t="shared" si="1"/>
        <v>48</v>
      </c>
    </row>
    <row r="34" spans="1:18" ht="28.5" x14ac:dyDescent="0.2">
      <c r="A34" s="215" t="s">
        <v>744</v>
      </c>
      <c r="B34" s="216" t="s">
        <v>892</v>
      </c>
      <c r="C34" s="222" t="s">
        <v>898</v>
      </c>
      <c r="D34" s="223" t="s">
        <v>898</v>
      </c>
      <c r="E34" s="250" t="s">
        <v>932</v>
      </c>
      <c r="F34" s="250" t="s">
        <v>932</v>
      </c>
      <c r="G34" s="215" t="s">
        <v>18</v>
      </c>
      <c r="H34" s="215"/>
      <c r="I34" s="215"/>
      <c r="J34" s="246"/>
      <c r="K34" s="246">
        <v>48</v>
      </c>
      <c r="L34" s="246"/>
      <c r="M34" s="246"/>
      <c r="N34" s="215"/>
      <c r="O34" s="242">
        <f t="shared" si="0"/>
        <v>48</v>
      </c>
      <c r="P34" s="215"/>
      <c r="Q34" s="215"/>
      <c r="R34" s="242">
        <f t="shared" si="1"/>
        <v>48</v>
      </c>
    </row>
    <row r="35" spans="1:18" ht="28.5" x14ac:dyDescent="0.2">
      <c r="A35" s="215" t="s">
        <v>744</v>
      </c>
      <c r="B35" s="216" t="s">
        <v>892</v>
      </c>
      <c r="C35" s="222" t="s">
        <v>898</v>
      </c>
      <c r="D35" s="223" t="s">
        <v>898</v>
      </c>
      <c r="E35" s="248" t="s">
        <v>930</v>
      </c>
      <c r="F35" s="248" t="s">
        <v>930</v>
      </c>
      <c r="G35" s="215" t="s">
        <v>18</v>
      </c>
      <c r="H35" s="215"/>
      <c r="I35" s="215"/>
      <c r="J35" s="246"/>
      <c r="K35" s="246">
        <v>24</v>
      </c>
      <c r="L35" s="246"/>
      <c r="M35" s="246"/>
      <c r="N35" s="215"/>
      <c r="O35" s="242">
        <f t="shared" si="0"/>
        <v>24</v>
      </c>
      <c r="P35" s="215"/>
      <c r="Q35" s="215"/>
      <c r="R35" s="242">
        <f t="shared" si="1"/>
        <v>24</v>
      </c>
    </row>
    <row r="36" spans="1:18" ht="28.5" x14ac:dyDescent="0.2">
      <c r="A36" s="216" t="s">
        <v>753</v>
      </c>
      <c r="B36" s="216" t="s">
        <v>892</v>
      </c>
      <c r="C36" s="223" t="s">
        <v>899</v>
      </c>
      <c r="D36" s="223" t="s">
        <v>899</v>
      </c>
      <c r="E36" s="249" t="s">
        <v>926</v>
      </c>
      <c r="F36" s="224" t="s">
        <v>927</v>
      </c>
      <c r="G36" s="224" t="s">
        <v>18</v>
      </c>
      <c r="H36" s="215"/>
      <c r="I36" s="215"/>
      <c r="J36" s="246">
        <f>154.96+734.25+75</f>
        <v>964.21</v>
      </c>
      <c r="K36" s="246"/>
      <c r="L36" s="246"/>
      <c r="M36" s="246"/>
      <c r="N36" s="215"/>
      <c r="O36" s="242">
        <f t="shared" si="0"/>
        <v>964.21</v>
      </c>
      <c r="P36" s="215"/>
      <c r="Q36" s="215"/>
      <c r="R36" s="242">
        <f t="shared" si="1"/>
        <v>964.21</v>
      </c>
    </row>
    <row r="37" spans="1:18" ht="28.5" x14ac:dyDescent="0.2">
      <c r="A37" s="216" t="s">
        <v>753</v>
      </c>
      <c r="B37" s="216" t="s">
        <v>892</v>
      </c>
      <c r="C37" s="223" t="s">
        <v>899</v>
      </c>
      <c r="D37" s="223" t="s">
        <v>899</v>
      </c>
      <c r="E37" s="249" t="s">
        <v>928</v>
      </c>
      <c r="F37" s="224" t="s">
        <v>929</v>
      </c>
      <c r="G37" s="224" t="s">
        <v>18</v>
      </c>
      <c r="H37" s="215"/>
      <c r="I37" s="215"/>
      <c r="J37" s="246">
        <f>409.25+357+118.08</f>
        <v>884.33</v>
      </c>
      <c r="K37" s="246">
        <v>25.25</v>
      </c>
      <c r="L37" s="246">
        <v>154.96</v>
      </c>
      <c r="M37" s="246"/>
      <c r="N37" s="215"/>
      <c r="O37" s="242">
        <f t="shared" si="0"/>
        <v>1064.54</v>
      </c>
      <c r="P37" s="215"/>
      <c r="Q37" s="215"/>
      <c r="R37" s="242">
        <f t="shared" si="1"/>
        <v>1064.54</v>
      </c>
    </row>
    <row r="38" spans="1:18" ht="28.5" x14ac:dyDescent="0.2">
      <c r="A38" s="216" t="s">
        <v>753</v>
      </c>
      <c r="B38" s="216" t="s">
        <v>892</v>
      </c>
      <c r="C38" s="222" t="s">
        <v>898</v>
      </c>
      <c r="D38" s="223" t="s">
        <v>898</v>
      </c>
      <c r="E38" s="249" t="s">
        <v>931</v>
      </c>
      <c r="F38" s="249" t="s">
        <v>931</v>
      </c>
      <c r="G38" s="224" t="s">
        <v>18</v>
      </c>
      <c r="H38" s="215"/>
      <c r="I38" s="215"/>
      <c r="J38" s="246">
        <f>645.24</f>
        <v>645.24</v>
      </c>
      <c r="K38" s="246"/>
      <c r="L38" s="246"/>
      <c r="M38" s="246"/>
      <c r="N38" s="215"/>
      <c r="O38" s="242">
        <f t="shared" si="0"/>
        <v>645.24</v>
      </c>
      <c r="P38" s="215"/>
      <c r="Q38" s="215"/>
      <c r="R38" s="242">
        <f t="shared" ref="R38" si="3">SUM(O38:Q38)</f>
        <v>645.24</v>
      </c>
    </row>
    <row r="39" spans="1:18" ht="28.5" x14ac:dyDescent="0.2">
      <c r="A39" s="216" t="s">
        <v>740</v>
      </c>
      <c r="B39" s="216" t="s">
        <v>892</v>
      </c>
      <c r="C39" s="222" t="s">
        <v>898</v>
      </c>
      <c r="D39" s="223" t="s">
        <v>898</v>
      </c>
      <c r="E39" s="249" t="s">
        <v>931</v>
      </c>
      <c r="F39" s="249" t="s">
        <v>931</v>
      </c>
      <c r="G39" s="224" t="s">
        <v>18</v>
      </c>
      <c r="H39" s="215"/>
      <c r="I39" s="215"/>
      <c r="J39" s="246">
        <v>48</v>
      </c>
      <c r="K39" s="246"/>
      <c r="L39" s="246">
        <v>154.96</v>
      </c>
      <c r="M39" s="246"/>
      <c r="N39" s="215"/>
      <c r="O39" s="242">
        <f t="shared" si="0"/>
        <v>202.96</v>
      </c>
      <c r="P39" s="215"/>
      <c r="Q39" s="215"/>
      <c r="R39" s="242">
        <f t="shared" ref="R39:R41" si="4">SUM(O39:Q39)</f>
        <v>202.96</v>
      </c>
    </row>
    <row r="40" spans="1:18" ht="28.5" x14ac:dyDescent="0.2">
      <c r="A40" s="216" t="s">
        <v>741</v>
      </c>
      <c r="B40" s="216" t="s">
        <v>892</v>
      </c>
      <c r="C40" s="222" t="s">
        <v>898</v>
      </c>
      <c r="D40" s="223" t="s">
        <v>898</v>
      </c>
      <c r="E40" s="249" t="s">
        <v>931</v>
      </c>
      <c r="F40" s="249" t="s">
        <v>931</v>
      </c>
      <c r="G40" s="224" t="s">
        <v>18</v>
      </c>
      <c r="H40" s="215"/>
      <c r="I40" s="215"/>
      <c r="J40" s="246">
        <v>474.24</v>
      </c>
      <c r="K40" s="246"/>
      <c r="L40" s="246"/>
      <c r="M40" s="246"/>
      <c r="N40" s="215"/>
      <c r="O40" s="242">
        <f t="shared" si="0"/>
        <v>474.24</v>
      </c>
      <c r="P40" s="215"/>
      <c r="Q40" s="215"/>
      <c r="R40" s="242">
        <f t="shared" si="4"/>
        <v>474.24</v>
      </c>
    </row>
    <row r="41" spans="1:18" ht="28.5" x14ac:dyDescent="0.2">
      <c r="A41" s="216" t="s">
        <v>745</v>
      </c>
      <c r="B41" s="216" t="s">
        <v>892</v>
      </c>
      <c r="C41" s="222" t="s">
        <v>898</v>
      </c>
      <c r="D41" s="223" t="s">
        <v>898</v>
      </c>
      <c r="E41" s="249" t="s">
        <v>931</v>
      </c>
      <c r="F41" s="249" t="s">
        <v>931</v>
      </c>
      <c r="G41" s="224" t="s">
        <v>18</v>
      </c>
      <c r="H41" s="215"/>
      <c r="I41" s="215"/>
      <c r="J41" s="246"/>
      <c r="K41" s="246">
        <v>36</v>
      </c>
      <c r="L41" s="246">
        <v>154.96</v>
      </c>
      <c r="M41" s="246"/>
      <c r="N41" s="215"/>
      <c r="O41" s="242">
        <f t="shared" si="0"/>
        <v>190.96</v>
      </c>
      <c r="P41" s="215"/>
      <c r="Q41" s="215"/>
      <c r="R41" s="242">
        <f t="shared" si="4"/>
        <v>190.96</v>
      </c>
    </row>
    <row r="42" spans="1:18" ht="28.5" x14ac:dyDescent="0.2">
      <c r="A42" s="245" t="s">
        <v>743</v>
      </c>
      <c r="B42" s="216" t="s">
        <v>892</v>
      </c>
      <c r="C42" s="222" t="s">
        <v>898</v>
      </c>
      <c r="D42" s="223" t="s">
        <v>898</v>
      </c>
      <c r="E42" s="249" t="s">
        <v>931</v>
      </c>
      <c r="F42" s="249" t="s">
        <v>931</v>
      </c>
      <c r="G42" s="224" t="s">
        <v>18</v>
      </c>
      <c r="H42" s="215"/>
      <c r="I42" s="215"/>
      <c r="J42" s="246"/>
      <c r="K42" s="246"/>
      <c r="L42" s="246">
        <v>154.96</v>
      </c>
      <c r="M42" s="246"/>
      <c r="N42" s="215"/>
      <c r="O42" s="242">
        <f t="shared" si="0"/>
        <v>154.96</v>
      </c>
      <c r="P42" s="215"/>
      <c r="Q42" s="215"/>
      <c r="R42" s="242">
        <f t="shared" ref="R42:R43" si="5">SUM(O42:Q42)</f>
        <v>154.96</v>
      </c>
    </row>
    <row r="43" spans="1:18" ht="28.5" x14ac:dyDescent="0.2">
      <c r="A43" s="216" t="s">
        <v>410</v>
      </c>
      <c r="B43" s="216" t="s">
        <v>892</v>
      </c>
      <c r="C43" s="222" t="s">
        <v>898</v>
      </c>
      <c r="D43" s="223" t="s">
        <v>898</v>
      </c>
      <c r="E43" s="249" t="s">
        <v>931</v>
      </c>
      <c r="F43" s="249" t="s">
        <v>931</v>
      </c>
      <c r="G43" s="224" t="s">
        <v>18</v>
      </c>
      <c r="H43" s="215"/>
      <c r="I43" s="215"/>
      <c r="J43" s="246"/>
      <c r="K43" s="246">
        <v>36</v>
      </c>
      <c r="L43" s="246">
        <v>154.96</v>
      </c>
      <c r="M43" s="246"/>
      <c r="N43" s="215"/>
      <c r="O43" s="242">
        <f t="shared" si="0"/>
        <v>190.96</v>
      </c>
      <c r="P43" s="215"/>
      <c r="Q43" s="215"/>
      <c r="R43" s="242">
        <f t="shared" si="5"/>
        <v>190.96</v>
      </c>
    </row>
    <row r="44" spans="1:18" x14ac:dyDescent="0.2">
      <c r="J44" s="247"/>
      <c r="K44" s="247"/>
      <c r="L44" s="247"/>
      <c r="M44" s="247"/>
    </row>
  </sheetData>
  <autoFilter ref="A1:R43" xr:uid="{3FC8A196-4D3F-4F9D-8103-80C313885361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5"/>
  <sheetViews>
    <sheetView zoomScale="70" zoomScaleNormal="70" workbookViewId="0">
      <selection activeCell="D16" sqref="D16"/>
    </sheetView>
  </sheetViews>
  <sheetFormatPr defaultRowHeight="14.25" x14ac:dyDescent="0.2"/>
  <cols>
    <col min="1" max="1" width="19.75" bestFit="1" customWidth="1"/>
    <col min="2" max="2" width="19" bestFit="1" customWidth="1"/>
    <col min="3" max="3" width="30.875" customWidth="1"/>
    <col min="4" max="4" width="46.125" bestFit="1" customWidth="1"/>
    <col min="5" max="6" width="13.125" bestFit="1" customWidth="1"/>
    <col min="7" max="7" width="21.375" customWidth="1"/>
    <col min="8" max="8" width="9.375" bestFit="1" customWidth="1"/>
    <col min="9" max="9" width="9.375" customWidth="1"/>
    <col min="10" max="10" width="11.125" bestFit="1" customWidth="1"/>
    <col min="11" max="11" width="12.875" bestFit="1" customWidth="1"/>
    <col min="12" max="12" width="14.625" bestFit="1" customWidth="1"/>
    <col min="13" max="13" width="9.75" bestFit="1" customWidth="1"/>
    <col min="14" max="14" width="9.625" customWidth="1"/>
    <col min="15" max="15" width="11.125" bestFit="1" customWidth="1"/>
    <col min="16" max="16" width="9.375" customWidth="1"/>
    <col min="17" max="17" width="9.125" bestFit="1" customWidth="1"/>
    <col min="18" max="18" width="11.125" bestFit="1" customWidth="1"/>
  </cols>
  <sheetData>
    <row r="1" spans="1:18" s="2" customFormat="1" ht="30" customHeight="1" x14ac:dyDescent="0.25">
      <c r="A1" s="15" t="s">
        <v>0</v>
      </c>
      <c r="B1" s="15" t="s">
        <v>3</v>
      </c>
      <c r="C1" s="15" t="s">
        <v>4</v>
      </c>
      <c r="D1" s="16" t="s">
        <v>28</v>
      </c>
      <c r="E1" s="17" t="s">
        <v>5</v>
      </c>
      <c r="F1" s="17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26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pans="1:18" s="49" customFormat="1" ht="21.95" customHeight="1" x14ac:dyDescent="0.2">
      <c r="A2" s="37" t="s">
        <v>27</v>
      </c>
      <c r="B2" s="18" t="s">
        <v>37</v>
      </c>
      <c r="C2" s="18" t="s">
        <v>54</v>
      </c>
      <c r="D2" s="18"/>
      <c r="E2" s="58">
        <v>42027</v>
      </c>
      <c r="F2" s="58">
        <v>42027</v>
      </c>
      <c r="G2" s="57" t="s">
        <v>18</v>
      </c>
      <c r="H2" s="37"/>
      <c r="I2" s="37"/>
      <c r="J2" s="48"/>
      <c r="K2" s="48">
        <v>12.75</v>
      </c>
      <c r="L2" s="48"/>
      <c r="M2" s="48"/>
      <c r="N2" s="48"/>
      <c r="O2" s="47">
        <f t="shared" ref="O2:O13" si="0">SUM(J2:N2)</f>
        <v>12.75</v>
      </c>
      <c r="P2" s="48"/>
      <c r="Q2" s="48"/>
      <c r="R2" s="47">
        <f>SUM(O2:P2:Q2)</f>
        <v>12.75</v>
      </c>
    </row>
    <row r="3" spans="1:18" s="49" customFormat="1" ht="29.45" customHeight="1" x14ac:dyDescent="0.2">
      <c r="A3" s="37" t="s">
        <v>27</v>
      </c>
      <c r="B3" s="18" t="s">
        <v>37</v>
      </c>
      <c r="C3" s="18" t="s">
        <v>53</v>
      </c>
      <c r="D3" s="18" t="s">
        <v>78</v>
      </c>
      <c r="E3" s="58">
        <v>42024</v>
      </c>
      <c r="F3" s="58">
        <v>42024</v>
      </c>
      <c r="G3" s="57" t="s">
        <v>18</v>
      </c>
      <c r="H3" s="37"/>
      <c r="I3" s="37"/>
      <c r="J3" s="48"/>
      <c r="K3" s="48">
        <v>25</v>
      </c>
      <c r="L3" s="48"/>
      <c r="M3" s="48"/>
      <c r="N3" s="48"/>
      <c r="O3" s="47">
        <f t="shared" si="0"/>
        <v>25</v>
      </c>
      <c r="P3" s="48"/>
      <c r="Q3" s="48"/>
      <c r="R3" s="47">
        <f>SUM(O3:P3:Q3)</f>
        <v>25</v>
      </c>
    </row>
    <row r="4" spans="1:18" s="19" customFormat="1" ht="30" customHeight="1" x14ac:dyDescent="0.2">
      <c r="A4" s="18" t="s">
        <v>20</v>
      </c>
      <c r="B4" s="18" t="s">
        <v>21</v>
      </c>
      <c r="C4" s="14" t="s">
        <v>52</v>
      </c>
      <c r="D4" s="60" t="s">
        <v>77</v>
      </c>
      <c r="E4" s="56">
        <v>42039</v>
      </c>
      <c r="F4" s="56">
        <v>42041</v>
      </c>
      <c r="G4" s="57" t="s">
        <v>24</v>
      </c>
      <c r="H4" s="18"/>
      <c r="I4" s="18"/>
      <c r="J4" s="18"/>
      <c r="K4" s="54">
        <v>105.19</v>
      </c>
      <c r="L4" s="18"/>
      <c r="M4" s="54">
        <v>33.81</v>
      </c>
      <c r="N4" s="18"/>
      <c r="O4" s="61">
        <f t="shared" si="0"/>
        <v>139</v>
      </c>
      <c r="P4" s="18"/>
      <c r="Q4" s="18"/>
      <c r="R4" s="61">
        <f t="shared" ref="R4:R12" si="1">SUM(O4:Q4)</f>
        <v>139</v>
      </c>
    </row>
    <row r="5" spans="1:18" s="19" customFormat="1" ht="30" customHeight="1" x14ac:dyDescent="0.2">
      <c r="A5" s="18" t="s">
        <v>20</v>
      </c>
      <c r="B5" s="18" t="s">
        <v>21</v>
      </c>
      <c r="C5" s="8" t="s">
        <v>51</v>
      </c>
      <c r="D5" s="60" t="s">
        <v>76</v>
      </c>
      <c r="E5" s="56">
        <v>42041</v>
      </c>
      <c r="F5" s="56">
        <v>42041</v>
      </c>
      <c r="G5" s="57" t="s">
        <v>18</v>
      </c>
      <c r="H5" s="18"/>
      <c r="I5" s="18"/>
      <c r="J5" s="18"/>
      <c r="K5" s="54">
        <v>3.98</v>
      </c>
      <c r="L5" s="18"/>
      <c r="M5" s="18"/>
      <c r="N5" s="18"/>
      <c r="O5" s="61">
        <f t="shared" si="0"/>
        <v>3.98</v>
      </c>
      <c r="P5" s="18"/>
      <c r="Q5" s="18"/>
      <c r="R5" s="61">
        <f t="shared" si="1"/>
        <v>3.98</v>
      </c>
    </row>
    <row r="6" spans="1:18" s="19" customFormat="1" ht="30" customHeight="1" x14ac:dyDescent="0.2">
      <c r="A6" s="18" t="s">
        <v>20</v>
      </c>
      <c r="B6" s="18" t="s">
        <v>21</v>
      </c>
      <c r="C6" s="8" t="s">
        <v>51</v>
      </c>
      <c r="D6" s="60" t="s">
        <v>75</v>
      </c>
      <c r="E6" s="56">
        <v>42062</v>
      </c>
      <c r="F6" s="56">
        <v>42062</v>
      </c>
      <c r="G6" s="57" t="s">
        <v>18</v>
      </c>
      <c r="H6" s="18"/>
      <c r="I6" s="18"/>
      <c r="J6" s="18"/>
      <c r="K6" s="54">
        <v>12.39</v>
      </c>
      <c r="L6" s="18"/>
      <c r="M6" s="18"/>
      <c r="N6" s="18"/>
      <c r="O6" s="61">
        <f t="shared" si="0"/>
        <v>12.39</v>
      </c>
      <c r="P6" s="18"/>
      <c r="Q6" s="18"/>
      <c r="R6" s="61">
        <f t="shared" si="1"/>
        <v>12.39</v>
      </c>
    </row>
    <row r="7" spans="1:18" s="9" customFormat="1" ht="29.1" customHeight="1" x14ac:dyDescent="0.2">
      <c r="A7" s="7" t="s">
        <v>31</v>
      </c>
      <c r="B7" s="14" t="s">
        <v>32</v>
      </c>
      <c r="C7" s="8" t="s">
        <v>57</v>
      </c>
      <c r="D7" s="20"/>
      <c r="E7" s="55">
        <v>42034</v>
      </c>
      <c r="F7" s="55">
        <v>42034</v>
      </c>
      <c r="G7" s="13" t="s">
        <v>18</v>
      </c>
      <c r="H7" s="7"/>
      <c r="I7" s="7"/>
      <c r="J7" s="46"/>
      <c r="K7" s="46">
        <v>8.25</v>
      </c>
      <c r="L7" s="46"/>
      <c r="M7" s="46"/>
      <c r="N7" s="46"/>
      <c r="O7" s="47">
        <f t="shared" si="0"/>
        <v>8.25</v>
      </c>
      <c r="P7" s="46"/>
      <c r="Q7" s="46"/>
      <c r="R7" s="47">
        <f t="shared" si="1"/>
        <v>8.25</v>
      </c>
    </row>
    <row r="8" spans="1:18" s="9" customFormat="1" ht="29.1" customHeight="1" x14ac:dyDescent="0.2">
      <c r="A8" s="7" t="s">
        <v>31</v>
      </c>
      <c r="B8" s="14" t="s">
        <v>32</v>
      </c>
      <c r="C8" s="8" t="s">
        <v>73</v>
      </c>
      <c r="D8" s="20"/>
      <c r="E8" s="55">
        <v>42039</v>
      </c>
      <c r="F8" s="55">
        <v>42040</v>
      </c>
      <c r="G8" s="13" t="s">
        <v>36</v>
      </c>
      <c r="H8" s="7"/>
      <c r="I8" s="7"/>
      <c r="J8" s="46"/>
      <c r="K8" s="46"/>
      <c r="L8" s="46">
        <v>79.989999999999995</v>
      </c>
      <c r="M8" s="46"/>
      <c r="N8" s="46"/>
      <c r="O8" s="47">
        <f t="shared" si="0"/>
        <v>79.989999999999995</v>
      </c>
      <c r="P8" s="46"/>
      <c r="Q8" s="46"/>
      <c r="R8" s="47">
        <f t="shared" si="1"/>
        <v>79.989999999999995</v>
      </c>
    </row>
    <row r="9" spans="1:18" s="9" customFormat="1" ht="29.1" customHeight="1" x14ac:dyDescent="0.2">
      <c r="A9" s="7" t="s">
        <v>31</v>
      </c>
      <c r="B9" s="14" t="s">
        <v>32</v>
      </c>
      <c r="C9" s="8" t="s">
        <v>52</v>
      </c>
      <c r="D9" s="20" t="s">
        <v>44</v>
      </c>
      <c r="E9" s="55">
        <v>42087</v>
      </c>
      <c r="F9" s="55">
        <v>42088</v>
      </c>
      <c r="G9" s="13" t="s">
        <v>45</v>
      </c>
      <c r="H9" s="7"/>
      <c r="I9" s="7"/>
      <c r="J9" s="46"/>
      <c r="K9" s="46"/>
      <c r="L9" s="46">
        <v>125.63</v>
      </c>
      <c r="M9" s="46"/>
      <c r="N9" s="46"/>
      <c r="O9" s="47">
        <f t="shared" si="0"/>
        <v>125.63</v>
      </c>
      <c r="P9" s="46"/>
      <c r="Q9" s="46"/>
      <c r="R9" s="47">
        <f t="shared" si="1"/>
        <v>125.63</v>
      </c>
    </row>
    <row r="10" spans="1:18" s="9" customFormat="1" ht="29.1" customHeight="1" x14ac:dyDescent="0.2">
      <c r="A10" s="7" t="s">
        <v>31</v>
      </c>
      <c r="B10" s="14" t="s">
        <v>32</v>
      </c>
      <c r="C10" s="8" t="s">
        <v>59</v>
      </c>
      <c r="D10" s="20"/>
      <c r="E10" s="55">
        <v>42060</v>
      </c>
      <c r="F10" s="55">
        <v>42061</v>
      </c>
      <c r="G10" s="13" t="s">
        <v>46</v>
      </c>
      <c r="H10" s="7"/>
      <c r="I10" s="7"/>
      <c r="J10" s="46"/>
      <c r="K10" s="46">
        <v>96.75</v>
      </c>
      <c r="L10" s="46"/>
      <c r="M10" s="46">
        <v>17.7</v>
      </c>
      <c r="N10" s="46"/>
      <c r="O10" s="47">
        <f t="shared" si="0"/>
        <v>114.45</v>
      </c>
      <c r="P10" s="46"/>
      <c r="Q10" s="46"/>
      <c r="R10" s="47">
        <f t="shared" si="1"/>
        <v>114.45</v>
      </c>
    </row>
    <row r="11" spans="1:18" s="9" customFormat="1" ht="39.950000000000003" customHeight="1" x14ac:dyDescent="0.2">
      <c r="A11" s="7" t="s">
        <v>31</v>
      </c>
      <c r="B11" s="14" t="s">
        <v>32</v>
      </c>
      <c r="C11" s="8" t="s">
        <v>58</v>
      </c>
      <c r="D11" s="8" t="s">
        <v>74</v>
      </c>
      <c r="E11" s="55">
        <v>42068</v>
      </c>
      <c r="F11" s="55">
        <v>42068</v>
      </c>
      <c r="G11" s="13" t="s">
        <v>47</v>
      </c>
      <c r="H11" s="7"/>
      <c r="I11" s="7"/>
      <c r="J11" s="46">
        <v>541.25</v>
      </c>
      <c r="K11" s="46">
        <v>97.57</v>
      </c>
      <c r="L11" s="46"/>
      <c r="M11" s="46"/>
      <c r="N11" s="46"/>
      <c r="O11" s="47">
        <f t="shared" si="0"/>
        <v>638.81999999999994</v>
      </c>
      <c r="P11" s="46"/>
      <c r="Q11" s="46"/>
      <c r="R11" s="47">
        <f t="shared" si="1"/>
        <v>638.81999999999994</v>
      </c>
    </row>
    <row r="12" spans="1:18" s="9" customFormat="1" ht="29.1" customHeight="1" x14ac:dyDescent="0.2">
      <c r="A12" s="7" t="s">
        <v>48</v>
      </c>
      <c r="B12" s="8" t="s">
        <v>25</v>
      </c>
      <c r="C12" s="8" t="s">
        <v>55</v>
      </c>
      <c r="D12" s="20"/>
      <c r="E12" s="55">
        <v>42087</v>
      </c>
      <c r="F12" s="55">
        <v>42087</v>
      </c>
      <c r="G12" s="13" t="s">
        <v>18</v>
      </c>
      <c r="H12" s="7"/>
      <c r="I12" s="7"/>
      <c r="J12" s="46"/>
      <c r="K12" s="46">
        <v>60</v>
      </c>
      <c r="L12" s="46"/>
      <c r="M12" s="46"/>
      <c r="N12" s="46"/>
      <c r="O12" s="47">
        <f t="shared" si="0"/>
        <v>60</v>
      </c>
      <c r="P12" s="46"/>
      <c r="Q12" s="46"/>
      <c r="R12" s="47">
        <f t="shared" si="1"/>
        <v>60</v>
      </c>
    </row>
    <row r="13" spans="1:18" s="9" customFormat="1" ht="12" x14ac:dyDescent="0.2">
      <c r="A13" s="7" t="s">
        <v>30</v>
      </c>
      <c r="B13" s="8" t="s">
        <v>25</v>
      </c>
      <c r="C13" s="8" t="s">
        <v>55</v>
      </c>
      <c r="D13" s="20"/>
      <c r="E13" s="55">
        <v>42088</v>
      </c>
      <c r="F13" s="55">
        <v>42089</v>
      </c>
      <c r="G13" s="13" t="s">
        <v>18</v>
      </c>
      <c r="H13" s="7"/>
      <c r="I13" s="7"/>
      <c r="J13" s="46"/>
      <c r="K13" s="46"/>
      <c r="L13" s="46">
        <v>142.69999999999999</v>
      </c>
      <c r="M13" s="46"/>
      <c r="N13" s="46"/>
      <c r="O13" s="47">
        <f t="shared" si="0"/>
        <v>142.69999999999999</v>
      </c>
      <c r="P13" s="46"/>
      <c r="Q13" s="46"/>
      <c r="R13" s="47">
        <f>SUM(O13:P13:Q13)</f>
        <v>142.69999999999999</v>
      </c>
    </row>
    <row r="14" spans="1:18" s="9" customFormat="1" ht="12" x14ac:dyDescent="0.2">
      <c r="A14" s="7" t="s">
        <v>49</v>
      </c>
      <c r="B14" s="8" t="s">
        <v>25</v>
      </c>
      <c r="C14" s="8" t="s">
        <v>55</v>
      </c>
      <c r="D14" s="20"/>
      <c r="E14" s="55">
        <v>42088</v>
      </c>
      <c r="F14" s="55">
        <v>42089</v>
      </c>
      <c r="G14" s="13" t="s">
        <v>18</v>
      </c>
      <c r="H14" s="7"/>
      <c r="I14" s="7"/>
      <c r="J14" s="46"/>
      <c r="K14" s="46"/>
      <c r="L14" s="46">
        <v>142.69999999999999</v>
      </c>
      <c r="M14" s="46"/>
      <c r="N14" s="46"/>
      <c r="O14" s="47">
        <f t="shared" ref="O14:O19" si="2">SUM(J14:N14)</f>
        <v>142.69999999999999</v>
      </c>
      <c r="P14" s="46"/>
      <c r="Q14" s="46"/>
      <c r="R14" s="47">
        <f>SUM(O14:P14:Q14)</f>
        <v>142.69999999999999</v>
      </c>
    </row>
    <row r="15" spans="1:18" s="9" customFormat="1" ht="12" x14ac:dyDescent="0.2">
      <c r="A15" s="7" t="s">
        <v>27</v>
      </c>
      <c r="B15" s="8" t="s">
        <v>37</v>
      </c>
      <c r="C15" s="8" t="s">
        <v>55</v>
      </c>
      <c r="D15" s="20"/>
      <c r="E15" s="55">
        <v>42088</v>
      </c>
      <c r="F15" s="55">
        <v>42089</v>
      </c>
      <c r="G15" s="13" t="s">
        <v>18</v>
      </c>
      <c r="H15" s="7"/>
      <c r="I15" s="7"/>
      <c r="J15" s="46"/>
      <c r="K15" s="46">
        <v>13</v>
      </c>
      <c r="L15" s="46">
        <v>142.69999999999999</v>
      </c>
      <c r="M15" s="46"/>
      <c r="N15" s="46"/>
      <c r="O15" s="47">
        <f t="shared" si="2"/>
        <v>155.69999999999999</v>
      </c>
      <c r="P15" s="46"/>
      <c r="Q15" s="46"/>
      <c r="R15" s="47">
        <f>SUM(O15:P15:Q15)</f>
        <v>155.69999999999999</v>
      </c>
    </row>
    <row r="16" spans="1:18" s="9" customFormat="1" ht="12" x14ac:dyDescent="0.2">
      <c r="A16" s="7" t="s">
        <v>27</v>
      </c>
      <c r="B16" s="8" t="s">
        <v>37</v>
      </c>
      <c r="C16" s="8" t="s">
        <v>51</v>
      </c>
      <c r="D16" s="20" t="s">
        <v>60</v>
      </c>
      <c r="E16" s="55">
        <v>42087</v>
      </c>
      <c r="F16" s="55">
        <v>42088</v>
      </c>
      <c r="G16" s="13" t="s">
        <v>18</v>
      </c>
      <c r="H16" s="7"/>
      <c r="I16" s="7"/>
      <c r="J16" s="46"/>
      <c r="K16" s="46">
        <v>63</v>
      </c>
      <c r="L16" s="46">
        <v>142.69999999999999</v>
      </c>
      <c r="M16" s="46"/>
      <c r="N16" s="46"/>
      <c r="O16" s="47">
        <f t="shared" si="2"/>
        <v>205.7</v>
      </c>
      <c r="P16" s="46"/>
      <c r="Q16" s="46"/>
      <c r="R16" s="47">
        <f>SUM(O16:P16:Q16)</f>
        <v>205.7</v>
      </c>
    </row>
    <row r="17" spans="1:18" s="9" customFormat="1" ht="12" x14ac:dyDescent="0.2">
      <c r="A17" s="7" t="s">
        <v>50</v>
      </c>
      <c r="B17" s="8" t="s">
        <v>37</v>
      </c>
      <c r="C17" s="8" t="s">
        <v>55</v>
      </c>
      <c r="D17" s="20"/>
      <c r="E17" s="55">
        <v>42087</v>
      </c>
      <c r="F17" s="55">
        <v>42088</v>
      </c>
      <c r="G17" s="13" t="s">
        <v>18</v>
      </c>
      <c r="H17" s="7"/>
      <c r="I17" s="7"/>
      <c r="J17" s="46"/>
      <c r="K17" s="46"/>
      <c r="L17" s="46">
        <v>142.69999999999999</v>
      </c>
      <c r="M17" s="46"/>
      <c r="N17" s="46"/>
      <c r="O17" s="47">
        <f t="shared" si="2"/>
        <v>142.69999999999999</v>
      </c>
      <c r="P17" s="46"/>
      <c r="Q17" s="46"/>
      <c r="R17" s="47">
        <f>SUM(O17:P17:Q17)</f>
        <v>142.69999999999999</v>
      </c>
    </row>
    <row r="18" spans="1:18" s="9" customFormat="1" ht="24" x14ac:dyDescent="0.2">
      <c r="A18" s="7" t="s">
        <v>33</v>
      </c>
      <c r="B18" s="14" t="s">
        <v>34</v>
      </c>
      <c r="C18" s="8" t="s">
        <v>40</v>
      </c>
      <c r="D18" s="20"/>
      <c r="E18" s="55">
        <v>42094</v>
      </c>
      <c r="F18" s="55">
        <v>42094</v>
      </c>
      <c r="G18" s="13" t="s">
        <v>18</v>
      </c>
      <c r="H18" s="7"/>
      <c r="I18" s="7"/>
      <c r="J18" s="46"/>
      <c r="K18" s="46">
        <v>10</v>
      </c>
      <c r="L18" s="46"/>
      <c r="M18" s="46"/>
      <c r="N18" s="46"/>
      <c r="O18" s="47">
        <f t="shared" si="2"/>
        <v>10</v>
      </c>
      <c r="P18" s="46"/>
      <c r="Q18" s="46"/>
      <c r="R18" s="47">
        <f>SUM(O18:Q18)</f>
        <v>10</v>
      </c>
    </row>
    <row r="19" spans="1:18" s="9" customFormat="1" ht="24" x14ac:dyDescent="0.2">
      <c r="A19" s="7" t="s">
        <v>30</v>
      </c>
      <c r="B19" s="8" t="s">
        <v>25</v>
      </c>
      <c r="C19" s="8" t="s">
        <v>56</v>
      </c>
      <c r="D19" s="20"/>
      <c r="E19" s="55">
        <v>42088</v>
      </c>
      <c r="F19" s="55">
        <v>42088</v>
      </c>
      <c r="G19" s="13" t="s">
        <v>18</v>
      </c>
      <c r="H19" s="7"/>
      <c r="I19" s="7"/>
      <c r="J19" s="46"/>
      <c r="K19" s="46">
        <v>201.4</v>
      </c>
      <c r="L19" s="46"/>
      <c r="M19" s="46"/>
      <c r="N19" s="46"/>
      <c r="O19" s="47">
        <f t="shared" si="2"/>
        <v>201.4</v>
      </c>
      <c r="P19" s="46"/>
      <c r="Q19" s="46"/>
      <c r="R19" s="47">
        <f>SUM(O19:P19:Q19)</f>
        <v>201.4</v>
      </c>
    </row>
    <row r="24" spans="1:18" x14ac:dyDescent="0.2">
      <c r="K24">
        <v>108.97</v>
      </c>
    </row>
    <row r="25" spans="1:18" x14ac:dyDescent="0.2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"/>
  <sheetViews>
    <sheetView zoomScaleNormal="100" workbookViewId="0">
      <selection activeCell="J30" sqref="J30"/>
    </sheetView>
  </sheetViews>
  <sheetFormatPr defaultRowHeight="14.25" x14ac:dyDescent="0.2"/>
  <cols>
    <col min="1" max="1" width="19.125" bestFit="1" customWidth="1"/>
    <col min="2" max="2" width="16" bestFit="1" customWidth="1"/>
    <col min="3" max="3" width="36.625" bestFit="1" customWidth="1"/>
    <col min="4" max="4" width="25.625" bestFit="1" customWidth="1"/>
    <col min="5" max="5" width="8.875" bestFit="1" customWidth="1"/>
    <col min="6" max="6" width="9.875" bestFit="1" customWidth="1"/>
    <col min="7" max="7" width="11.375" bestFit="1" customWidth="1"/>
    <col min="9" max="9" width="13.875" bestFit="1" customWidth="1"/>
    <col min="11" max="11" width="17.5" bestFit="1" customWidth="1"/>
    <col min="12" max="12" width="14" bestFit="1" customWidth="1"/>
    <col min="14" max="14" width="9.125" bestFit="1" customWidth="1"/>
    <col min="15" max="15" width="10.625" bestFit="1" customWidth="1"/>
    <col min="16" max="16" width="9.125" bestFit="1" customWidth="1"/>
    <col min="17" max="17" width="13.625" bestFit="1" customWidth="1"/>
  </cols>
  <sheetData>
    <row r="1" spans="1:18" s="2" customFormat="1" ht="23.1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108</v>
      </c>
      <c r="E2" s="55">
        <v>42127</v>
      </c>
      <c r="F2" s="55">
        <v>42128</v>
      </c>
      <c r="G2" s="10" t="s">
        <v>87</v>
      </c>
      <c r="H2" s="31"/>
      <c r="I2" s="31"/>
      <c r="J2" s="31">
        <v>404.24</v>
      </c>
      <c r="K2" s="32"/>
      <c r="L2" s="31"/>
      <c r="M2" s="31"/>
      <c r="N2" s="31"/>
      <c r="O2" s="33">
        <f>SUM(J2:N2)</f>
        <v>404.24</v>
      </c>
      <c r="P2" s="31"/>
      <c r="Q2" s="31"/>
      <c r="R2" s="33">
        <f>SUM(O2:Q2)</f>
        <v>404.24</v>
      </c>
    </row>
    <row r="3" spans="1:18" s="12" customFormat="1" ht="24" x14ac:dyDescent="0.2">
      <c r="A3" s="10" t="s">
        <v>38</v>
      </c>
      <c r="B3" s="13" t="s">
        <v>168</v>
      </c>
      <c r="C3" s="11" t="s">
        <v>107</v>
      </c>
      <c r="D3" s="13" t="s">
        <v>109</v>
      </c>
      <c r="E3" s="55">
        <v>42094</v>
      </c>
      <c r="F3" s="55">
        <v>42094</v>
      </c>
      <c r="G3" s="13" t="s">
        <v>18</v>
      </c>
      <c r="H3" s="31"/>
      <c r="I3" s="31"/>
      <c r="J3" s="32"/>
      <c r="K3" s="32">
        <v>21</v>
      </c>
      <c r="L3" s="32"/>
      <c r="M3" s="32"/>
      <c r="N3" s="32"/>
      <c r="O3" s="33">
        <f>SUM(J3:N3)</f>
        <v>21</v>
      </c>
      <c r="P3" s="32"/>
      <c r="Q3" s="32"/>
      <c r="R3" s="33">
        <f>SUM(O3:Q3)</f>
        <v>21</v>
      </c>
    </row>
    <row r="4" spans="1:18" s="12" customFormat="1" ht="24" x14ac:dyDescent="0.2">
      <c r="A4" s="10" t="s">
        <v>38</v>
      </c>
      <c r="B4" s="13" t="s">
        <v>168</v>
      </c>
      <c r="C4" s="11" t="s">
        <v>107</v>
      </c>
      <c r="D4" s="13" t="s">
        <v>110</v>
      </c>
      <c r="E4" s="55">
        <v>42115</v>
      </c>
      <c r="F4" s="55">
        <v>42115</v>
      </c>
      <c r="G4" s="13" t="s">
        <v>18</v>
      </c>
      <c r="H4" s="31"/>
      <c r="I4" s="31"/>
      <c r="J4" s="32"/>
      <c r="K4" s="32">
        <f>5.5+9</f>
        <v>14.5</v>
      </c>
      <c r="L4" s="32"/>
      <c r="M4" s="32"/>
      <c r="N4" s="32"/>
      <c r="O4" s="33">
        <f>SUM(J4:N4)</f>
        <v>14.5</v>
      </c>
      <c r="P4" s="32"/>
      <c r="Q4" s="32"/>
      <c r="R4" s="33">
        <f>SUM(O4:Q4)</f>
        <v>14.5</v>
      </c>
    </row>
    <row r="5" spans="1:18" s="9" customFormat="1" ht="24" x14ac:dyDescent="0.2">
      <c r="A5" s="7" t="s">
        <v>33</v>
      </c>
      <c r="B5" s="14" t="s">
        <v>34</v>
      </c>
      <c r="C5" s="11" t="s">
        <v>107</v>
      </c>
      <c r="D5" s="13" t="s">
        <v>111</v>
      </c>
      <c r="E5" s="55">
        <v>42094</v>
      </c>
      <c r="F5" s="55">
        <v>42094</v>
      </c>
      <c r="G5" s="13" t="s">
        <v>18</v>
      </c>
      <c r="H5" s="34"/>
      <c r="I5" s="34"/>
      <c r="J5" s="35"/>
      <c r="K5" s="35">
        <v>10</v>
      </c>
      <c r="L5" s="35"/>
      <c r="M5" s="35"/>
      <c r="N5" s="35"/>
      <c r="O5" s="36">
        <f>SUM(J5:N5)</f>
        <v>10</v>
      </c>
      <c r="P5" s="35"/>
      <c r="Q5" s="35"/>
      <c r="R5" s="36">
        <f>SUM(O5:Q5)</f>
        <v>10</v>
      </c>
    </row>
    <row r="6" spans="1:18" s="12" customFormat="1" ht="27.95" customHeight="1" x14ac:dyDescent="0.2">
      <c r="A6" s="10" t="s">
        <v>20</v>
      </c>
      <c r="B6" s="10" t="s">
        <v>21</v>
      </c>
      <c r="C6" s="11" t="s">
        <v>107</v>
      </c>
      <c r="D6" s="13" t="s">
        <v>89</v>
      </c>
      <c r="E6" s="55">
        <v>42109</v>
      </c>
      <c r="F6" s="55">
        <v>42109</v>
      </c>
      <c r="G6" s="10" t="s">
        <v>18</v>
      </c>
      <c r="H6" s="31"/>
      <c r="I6" s="31"/>
      <c r="J6" s="31"/>
      <c r="K6" s="32">
        <f>14.16+24.5</f>
        <v>38.659999999999997</v>
      </c>
      <c r="L6" s="31"/>
      <c r="M6" s="31"/>
      <c r="N6" s="31"/>
      <c r="O6" s="33">
        <f>SUM(J6:N6)</f>
        <v>38.659999999999997</v>
      </c>
      <c r="P6" s="31"/>
      <c r="Q6" s="31"/>
      <c r="R6" s="33">
        <f>SUM(O6:Q6)</f>
        <v>38.659999999999997</v>
      </c>
    </row>
    <row r="7" spans="1:18" s="49" customFormat="1" ht="12.95" customHeight="1" x14ac:dyDescent="0.2"/>
    <row r="15" spans="1:18" x14ac:dyDescent="0.2">
      <c r="A15" t="s">
        <v>112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1"/>
  <sheetViews>
    <sheetView zoomScaleNormal="100" workbookViewId="0">
      <selection activeCell="C2" sqref="C2"/>
    </sheetView>
  </sheetViews>
  <sheetFormatPr defaultRowHeight="14.25" x14ac:dyDescent="0.2"/>
  <cols>
    <col min="1" max="1" width="16" bestFit="1" customWidth="1"/>
    <col min="2" max="2" width="19.875" bestFit="1" customWidth="1"/>
    <col min="3" max="3" width="30.625" bestFit="1" customWidth="1"/>
    <col min="4" max="4" width="34.375" customWidth="1"/>
    <col min="5" max="6" width="13.125" style="21" bestFit="1" customWidth="1"/>
    <col min="7" max="7" width="13.625" customWidth="1"/>
    <col min="8" max="8" width="9.375" bestFit="1" customWidth="1"/>
    <col min="10" max="12" width="11.125" bestFit="1" customWidth="1"/>
    <col min="13" max="13" width="10.125" bestFit="1" customWidth="1"/>
    <col min="15" max="15" width="11.125" bestFit="1" customWidth="1"/>
    <col min="18" max="18" width="11.125" bestFit="1" customWidth="1"/>
  </cols>
  <sheetData>
    <row r="1" spans="1:18" s="25" customFormat="1" ht="23.1" customHeight="1" x14ac:dyDescent="0.2">
      <c r="A1" s="22" t="s">
        <v>0</v>
      </c>
      <c r="B1" s="22" t="s">
        <v>3</v>
      </c>
      <c r="C1" s="22" t="s">
        <v>4</v>
      </c>
      <c r="D1" s="23" t="s">
        <v>28</v>
      </c>
      <c r="E1" s="24" t="s">
        <v>5</v>
      </c>
      <c r="F1" s="24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26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86</v>
      </c>
      <c r="E2" s="55">
        <v>42127</v>
      </c>
      <c r="F2" s="55">
        <v>42128</v>
      </c>
      <c r="G2" s="10" t="s">
        <v>87</v>
      </c>
      <c r="H2" s="27"/>
      <c r="I2" s="27"/>
      <c r="J2" s="27"/>
      <c r="K2" s="28">
        <v>35.4</v>
      </c>
      <c r="L2" s="27">
        <v>162</v>
      </c>
      <c r="M2" s="27"/>
      <c r="N2" s="27"/>
      <c r="O2" s="26">
        <f>SUM(J2:N2)</f>
        <v>197.4</v>
      </c>
      <c r="P2" s="27"/>
      <c r="Q2" s="27"/>
      <c r="R2" s="26">
        <f t="shared" ref="R2:R8" si="0">SUM(O2:Q2)</f>
        <v>197.4</v>
      </c>
    </row>
    <row r="3" spans="1:18" s="12" customFormat="1" ht="24" x14ac:dyDescent="0.2">
      <c r="A3" s="10" t="s">
        <v>20</v>
      </c>
      <c r="B3" s="10" t="s">
        <v>21</v>
      </c>
      <c r="C3" s="11" t="s">
        <v>186</v>
      </c>
      <c r="D3" s="10" t="s">
        <v>90</v>
      </c>
      <c r="E3" s="55">
        <v>42129</v>
      </c>
      <c r="F3" s="55">
        <v>42130</v>
      </c>
      <c r="G3" s="10" t="s">
        <v>47</v>
      </c>
      <c r="H3" s="27"/>
      <c r="I3" s="27"/>
      <c r="J3" s="27">
        <v>442.24</v>
      </c>
      <c r="K3" s="28"/>
      <c r="L3" s="27"/>
      <c r="M3" s="27"/>
      <c r="N3" s="27"/>
      <c r="O3" s="26">
        <f t="shared" ref="O3:O17" si="1">SUM(J3:N3)</f>
        <v>442.24</v>
      </c>
      <c r="P3" s="27"/>
      <c r="Q3" s="27"/>
      <c r="R3" s="26">
        <f t="shared" si="0"/>
        <v>442.24</v>
      </c>
    </row>
    <row r="4" spans="1:18" s="19" customFormat="1" ht="12" x14ac:dyDescent="0.2">
      <c r="A4" s="10" t="s">
        <v>20</v>
      </c>
      <c r="B4" s="10" t="s">
        <v>21</v>
      </c>
      <c r="C4" s="11" t="s">
        <v>107</v>
      </c>
      <c r="D4" s="10" t="s">
        <v>96</v>
      </c>
      <c r="E4" s="55">
        <v>42136</v>
      </c>
      <c r="F4" s="55">
        <v>42136</v>
      </c>
      <c r="G4" s="10" t="s">
        <v>18</v>
      </c>
      <c r="H4" s="27"/>
      <c r="I4" s="27"/>
      <c r="J4" s="27"/>
      <c r="K4" s="28">
        <v>11.5</v>
      </c>
      <c r="L4" s="27"/>
      <c r="M4" s="27"/>
      <c r="N4" s="27"/>
      <c r="O4" s="26">
        <f t="shared" si="1"/>
        <v>11.5</v>
      </c>
      <c r="P4" s="27"/>
      <c r="Q4" s="27"/>
      <c r="R4" s="26">
        <f t="shared" si="0"/>
        <v>11.5</v>
      </c>
    </row>
    <row r="5" spans="1:18" s="12" customFormat="1" ht="24" x14ac:dyDescent="0.2">
      <c r="A5" s="10" t="s">
        <v>20</v>
      </c>
      <c r="B5" s="10" t="s">
        <v>21</v>
      </c>
      <c r="C5" s="11" t="s">
        <v>186</v>
      </c>
      <c r="D5" s="10" t="s">
        <v>91</v>
      </c>
      <c r="E5" s="55">
        <v>42149</v>
      </c>
      <c r="F5" s="55">
        <v>42149</v>
      </c>
      <c r="G5" s="10" t="s">
        <v>47</v>
      </c>
      <c r="H5" s="27"/>
      <c r="I5" s="27"/>
      <c r="J5" s="27">
        <v>303.24</v>
      </c>
      <c r="K5" s="28"/>
      <c r="L5" s="27"/>
      <c r="M5" s="27"/>
      <c r="N5" s="27"/>
      <c r="O5" s="26">
        <f t="shared" si="1"/>
        <v>303.24</v>
      </c>
      <c r="P5" s="27"/>
      <c r="Q5" s="27"/>
      <c r="R5" s="26">
        <f t="shared" si="0"/>
        <v>303.24</v>
      </c>
    </row>
    <row r="6" spans="1:18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92</v>
      </c>
      <c r="E6" s="55">
        <v>42163</v>
      </c>
      <c r="F6" s="55">
        <v>42164</v>
      </c>
      <c r="G6" s="10" t="s">
        <v>93</v>
      </c>
      <c r="H6" s="27"/>
      <c r="I6" s="27"/>
      <c r="J6" s="27">
        <v>271.24</v>
      </c>
      <c r="K6" s="28"/>
      <c r="L6" s="27"/>
      <c r="M6" s="27"/>
      <c r="N6" s="27"/>
      <c r="O6" s="26">
        <f t="shared" si="1"/>
        <v>271.24</v>
      </c>
      <c r="P6" s="27"/>
      <c r="Q6" s="27"/>
      <c r="R6" s="26">
        <f t="shared" si="0"/>
        <v>271.24</v>
      </c>
    </row>
    <row r="7" spans="1:18" s="12" customFormat="1" ht="24" x14ac:dyDescent="0.2">
      <c r="A7" s="7" t="s">
        <v>31</v>
      </c>
      <c r="B7" s="14" t="s">
        <v>32</v>
      </c>
      <c r="C7" s="11" t="s">
        <v>186</v>
      </c>
      <c r="D7" s="8" t="s">
        <v>100</v>
      </c>
      <c r="E7" s="55">
        <v>42143</v>
      </c>
      <c r="F7" s="55">
        <v>42145</v>
      </c>
      <c r="G7" s="13" t="s">
        <v>97</v>
      </c>
      <c r="H7" s="27"/>
      <c r="I7" s="27"/>
      <c r="J7" s="28">
        <v>766.42</v>
      </c>
      <c r="K7" s="28"/>
      <c r="L7" s="28"/>
      <c r="M7" s="28"/>
      <c r="N7" s="28"/>
      <c r="O7" s="26">
        <f t="shared" si="1"/>
        <v>766.42</v>
      </c>
      <c r="P7" s="28"/>
      <c r="Q7" s="28"/>
      <c r="R7" s="26">
        <f t="shared" si="0"/>
        <v>766.42</v>
      </c>
    </row>
    <row r="8" spans="1:18" s="12" customFormat="1" ht="24" x14ac:dyDescent="0.2">
      <c r="A8" s="7" t="s">
        <v>31</v>
      </c>
      <c r="B8" s="14" t="s">
        <v>32</v>
      </c>
      <c r="C8" s="11" t="s">
        <v>178</v>
      </c>
      <c r="D8" s="20"/>
      <c r="E8" s="55">
        <v>42150</v>
      </c>
      <c r="F8" s="55">
        <v>42150</v>
      </c>
      <c r="G8" s="13" t="s">
        <v>99</v>
      </c>
      <c r="H8" s="27"/>
      <c r="I8" s="27"/>
      <c r="J8" s="28">
        <v>345.25</v>
      </c>
      <c r="K8" s="28"/>
      <c r="L8" s="28"/>
      <c r="M8" s="28"/>
      <c r="N8" s="28"/>
      <c r="O8" s="26">
        <f t="shared" si="1"/>
        <v>345.25</v>
      </c>
      <c r="P8" s="28"/>
      <c r="Q8" s="28"/>
      <c r="R8" s="26">
        <f t="shared" si="0"/>
        <v>345.25</v>
      </c>
    </row>
    <row r="9" spans="1:18" s="12" customFormat="1" ht="24" x14ac:dyDescent="0.2">
      <c r="A9" s="7" t="s">
        <v>27</v>
      </c>
      <c r="B9" s="8" t="s">
        <v>37</v>
      </c>
      <c r="C9" s="8" t="s">
        <v>114</v>
      </c>
      <c r="D9" s="20" t="s">
        <v>104</v>
      </c>
      <c r="E9" s="55">
        <v>42038</v>
      </c>
      <c r="F9" s="55">
        <v>42039</v>
      </c>
      <c r="G9" s="13" t="s">
        <v>18</v>
      </c>
      <c r="H9" s="27"/>
      <c r="I9" s="27"/>
      <c r="J9" s="28"/>
      <c r="K9" s="28">
        <v>206.5</v>
      </c>
      <c r="L9" s="28"/>
      <c r="M9" s="28">
        <v>17.7</v>
      </c>
      <c r="N9" s="28"/>
      <c r="O9" s="26">
        <f>SUM(J9:N9)</f>
        <v>224.2</v>
      </c>
      <c r="P9" s="28"/>
      <c r="Q9" s="28"/>
      <c r="R9" s="26">
        <f>SUM(O9:P9:Q9)</f>
        <v>224.2</v>
      </c>
    </row>
    <row r="10" spans="1:18" s="9" customFormat="1" ht="29.1" customHeight="1" x14ac:dyDescent="0.2">
      <c r="A10" s="7" t="s">
        <v>27</v>
      </c>
      <c r="B10" s="8" t="s">
        <v>37</v>
      </c>
      <c r="C10" s="11" t="s">
        <v>107</v>
      </c>
      <c r="D10" s="13" t="s">
        <v>88</v>
      </c>
      <c r="E10" s="55">
        <v>42094</v>
      </c>
      <c r="F10" s="55">
        <v>42094</v>
      </c>
      <c r="G10" s="13" t="s">
        <v>18</v>
      </c>
      <c r="H10" s="27"/>
      <c r="I10" s="27"/>
      <c r="J10" s="28"/>
      <c r="K10" s="28">
        <v>180.75</v>
      </c>
      <c r="L10" s="28"/>
      <c r="M10" s="28"/>
      <c r="N10" s="28"/>
      <c r="O10" s="26">
        <f t="shared" si="1"/>
        <v>180.75</v>
      </c>
      <c r="P10" s="28"/>
      <c r="Q10" s="28"/>
      <c r="R10" s="26">
        <f>SUM(O10:P10:Q10)</f>
        <v>180.75</v>
      </c>
    </row>
    <row r="11" spans="1:18" s="9" customFormat="1" ht="29.1" customHeight="1" x14ac:dyDescent="0.2">
      <c r="A11" s="7" t="s">
        <v>27</v>
      </c>
      <c r="B11" s="8" t="s">
        <v>37</v>
      </c>
      <c r="C11" s="11" t="s">
        <v>187</v>
      </c>
      <c r="D11" s="13" t="s">
        <v>181</v>
      </c>
      <c r="E11" s="55">
        <v>42118</v>
      </c>
      <c r="F11" s="55">
        <v>42118</v>
      </c>
      <c r="G11" s="13" t="s">
        <v>103</v>
      </c>
      <c r="H11" s="27"/>
      <c r="I11" s="27"/>
      <c r="J11" s="28"/>
      <c r="K11" s="28">
        <v>100.4</v>
      </c>
      <c r="L11" s="28"/>
      <c r="M11" s="28"/>
      <c r="N11" s="28"/>
      <c r="O11" s="26">
        <f t="shared" si="1"/>
        <v>100.4</v>
      </c>
      <c r="P11" s="28"/>
      <c r="Q11" s="28"/>
      <c r="R11" s="26">
        <f>SUM(O11:P11:Q11)</f>
        <v>100.4</v>
      </c>
    </row>
    <row r="12" spans="1:18" s="9" customFormat="1" ht="24" x14ac:dyDescent="0.2">
      <c r="A12" s="7" t="s">
        <v>27</v>
      </c>
      <c r="B12" s="8" t="s">
        <v>37</v>
      </c>
      <c r="C12" s="11" t="s">
        <v>52</v>
      </c>
      <c r="D12" s="20" t="s">
        <v>101</v>
      </c>
      <c r="E12" s="55">
        <v>42145</v>
      </c>
      <c r="F12" s="55">
        <v>42146</v>
      </c>
      <c r="G12" s="13" t="s">
        <v>18</v>
      </c>
      <c r="H12" s="27"/>
      <c r="I12" s="27"/>
      <c r="J12" s="28"/>
      <c r="K12" s="28">
        <v>46.25</v>
      </c>
      <c r="L12" s="28">
        <v>159.12</v>
      </c>
      <c r="M12" s="28">
        <v>15.85</v>
      </c>
      <c r="N12" s="28"/>
      <c r="O12" s="26">
        <f>SUM(J12:N12)</f>
        <v>221.22</v>
      </c>
      <c r="P12" s="28"/>
      <c r="Q12" s="28"/>
      <c r="R12" s="26">
        <f>SUM(O12:P12:Q12)</f>
        <v>221.22</v>
      </c>
    </row>
    <row r="13" spans="1:18" s="49" customFormat="1" ht="28.5" customHeight="1" x14ac:dyDescent="0.2">
      <c r="A13" s="7" t="s">
        <v>27</v>
      </c>
      <c r="B13" s="8" t="s">
        <v>37</v>
      </c>
      <c r="C13" s="8" t="s">
        <v>115</v>
      </c>
      <c r="D13" s="13" t="s">
        <v>116</v>
      </c>
      <c r="E13" s="55">
        <v>42145</v>
      </c>
      <c r="F13" s="55">
        <v>42145</v>
      </c>
      <c r="G13" s="13" t="s">
        <v>18</v>
      </c>
      <c r="H13" s="27"/>
      <c r="I13" s="27"/>
      <c r="J13" s="28"/>
      <c r="K13" s="28">
        <v>224.75</v>
      </c>
      <c r="L13" s="28"/>
      <c r="M13" s="28">
        <v>20</v>
      </c>
      <c r="N13" s="28"/>
      <c r="O13" s="26">
        <f>SUM(J13:N13)</f>
        <v>244.75</v>
      </c>
      <c r="P13" s="28"/>
      <c r="Q13" s="28"/>
      <c r="R13" s="26">
        <f>SUM(O13:P13:Q13)</f>
        <v>244.75</v>
      </c>
    </row>
    <row r="14" spans="1:18" s="9" customFormat="1" ht="24" x14ac:dyDescent="0.2">
      <c r="A14" s="18" t="s">
        <v>2</v>
      </c>
      <c r="B14" s="18" t="s">
        <v>19</v>
      </c>
      <c r="C14" s="11" t="s">
        <v>157</v>
      </c>
      <c r="D14" s="18" t="s">
        <v>98</v>
      </c>
      <c r="E14" s="56">
        <v>42148</v>
      </c>
      <c r="F14" s="56">
        <v>42150</v>
      </c>
      <c r="G14" s="57" t="s">
        <v>180</v>
      </c>
      <c r="H14" s="38"/>
      <c r="I14" s="38"/>
      <c r="J14" s="29">
        <v>480.75</v>
      </c>
      <c r="K14" s="29">
        <v>92</v>
      </c>
      <c r="L14" s="29"/>
      <c r="M14" s="29">
        <v>21.44</v>
      </c>
      <c r="N14" s="29"/>
      <c r="O14" s="30">
        <f>SUM(J14:N14)</f>
        <v>594.19000000000005</v>
      </c>
      <c r="P14" s="29"/>
      <c r="Q14" s="29"/>
      <c r="R14" s="30">
        <f>SUM(O14:Q14)</f>
        <v>594.19000000000005</v>
      </c>
    </row>
    <row r="15" spans="1:18" s="9" customFormat="1" ht="12" x14ac:dyDescent="0.2">
      <c r="A15" s="37" t="s">
        <v>102</v>
      </c>
      <c r="B15" s="18" t="s">
        <v>25</v>
      </c>
      <c r="C15" s="11" t="s">
        <v>192</v>
      </c>
      <c r="D15" s="18" t="s">
        <v>113</v>
      </c>
      <c r="E15" s="58">
        <v>42155</v>
      </c>
      <c r="F15" s="58">
        <v>42155</v>
      </c>
      <c r="G15" s="57" t="s">
        <v>18</v>
      </c>
      <c r="H15" s="39"/>
      <c r="I15" s="39"/>
      <c r="J15" s="40"/>
      <c r="K15" s="40"/>
      <c r="L15" s="40">
        <v>159.12</v>
      </c>
      <c r="M15" s="40"/>
      <c r="N15" s="40"/>
      <c r="O15" s="26">
        <f t="shared" si="1"/>
        <v>159.12</v>
      </c>
      <c r="P15" s="40"/>
      <c r="Q15" s="40"/>
      <c r="R15" s="26">
        <f>SUM(O15:P15:Q15)</f>
        <v>159.12</v>
      </c>
    </row>
    <row r="16" spans="1:18" s="9" customFormat="1" ht="24" x14ac:dyDescent="0.2">
      <c r="A16" s="10" t="s">
        <v>38</v>
      </c>
      <c r="B16" s="13" t="s">
        <v>168</v>
      </c>
      <c r="C16" s="11" t="s">
        <v>186</v>
      </c>
      <c r="D16" s="13" t="s">
        <v>94</v>
      </c>
      <c r="E16" s="55">
        <v>42110</v>
      </c>
      <c r="F16" s="55">
        <v>42110</v>
      </c>
      <c r="G16" s="13" t="s">
        <v>18</v>
      </c>
      <c r="H16" s="27"/>
      <c r="I16" s="27"/>
      <c r="J16" s="28"/>
      <c r="K16" s="28">
        <v>22.12</v>
      </c>
      <c r="L16" s="28"/>
      <c r="M16" s="28"/>
      <c r="N16" s="28"/>
      <c r="O16" s="26">
        <f t="shared" si="1"/>
        <v>22.12</v>
      </c>
      <c r="P16" s="28"/>
      <c r="Q16" s="28"/>
      <c r="R16" s="26">
        <f>SUM(O16:Q16)</f>
        <v>22.12</v>
      </c>
    </row>
    <row r="17" spans="1:18" s="9" customFormat="1" ht="24" x14ac:dyDescent="0.2">
      <c r="A17" s="10" t="s">
        <v>38</v>
      </c>
      <c r="B17" s="13" t="s">
        <v>168</v>
      </c>
      <c r="C17" s="11" t="s">
        <v>186</v>
      </c>
      <c r="D17" s="13" t="s">
        <v>95</v>
      </c>
      <c r="E17" s="55">
        <v>42128</v>
      </c>
      <c r="F17" s="55">
        <v>42128</v>
      </c>
      <c r="G17" s="13" t="s">
        <v>18</v>
      </c>
      <c r="H17" s="27"/>
      <c r="I17" s="27"/>
      <c r="J17" s="28"/>
      <c r="K17" s="28">
        <v>22.12</v>
      </c>
      <c r="L17" s="28"/>
      <c r="M17" s="28"/>
      <c r="N17" s="28"/>
      <c r="O17" s="26">
        <f t="shared" si="1"/>
        <v>22.12</v>
      </c>
      <c r="P17" s="28"/>
      <c r="Q17" s="28"/>
      <c r="R17" s="26">
        <f>SUM(O17:Q17)</f>
        <v>22.12</v>
      </c>
    </row>
    <row r="20" spans="1:18" x14ac:dyDescent="0.2">
      <c r="K20" s="41"/>
    </row>
    <row r="21" spans="1:18" x14ac:dyDescent="0.2">
      <c r="A21" t="s">
        <v>112</v>
      </c>
      <c r="K21" s="41"/>
    </row>
  </sheetData>
  <sortState xmlns:xlrd2="http://schemas.microsoft.com/office/spreadsheetml/2017/richdata2" ref="A2:R21">
    <sortCondition ref="A2:A21"/>
    <sortCondition ref="E2:E21"/>
  </sortState>
  <pageMargins left="0.7" right="0.7" top="0.75" bottom="0.75" header="0.3" footer="0.3"/>
  <pageSetup scale="4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topLeftCell="A10" zoomScale="90" zoomScaleNormal="90" workbookViewId="0">
      <selection activeCell="H14" sqref="H14"/>
    </sheetView>
  </sheetViews>
  <sheetFormatPr defaultRowHeight="14.25" x14ac:dyDescent="0.2"/>
  <cols>
    <col min="1" max="1" width="16.5" bestFit="1" customWidth="1"/>
    <col min="2" max="2" width="28.5" bestFit="1" customWidth="1"/>
    <col min="3" max="3" width="54.25" bestFit="1" customWidth="1"/>
    <col min="4" max="4" width="44.375" bestFit="1" customWidth="1"/>
    <col min="5" max="6" width="13.125" bestFit="1" customWidth="1"/>
    <col min="7" max="7" width="13.625" bestFit="1" customWidth="1"/>
    <col min="8" max="8" width="25.375" customWidth="1"/>
    <col min="11" max="11" width="11.125" bestFit="1" customWidth="1"/>
    <col min="12" max="12" width="17.875" bestFit="1" customWidth="1"/>
    <col min="13" max="13" width="9.75" bestFit="1" customWidth="1"/>
    <col min="15" max="15" width="13.25" bestFit="1" customWidth="1"/>
    <col min="18" max="18" width="11.125" bestFit="1" customWidth="1"/>
  </cols>
  <sheetData>
    <row r="1" spans="1:19" s="45" customFormat="1" ht="30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1" customHeight="1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10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21" customHeight="1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12" customFormat="1" ht="21.6" customHeight="1" x14ac:dyDescent="0.2">
      <c r="A4" s="10" t="s">
        <v>20</v>
      </c>
      <c r="B4" s="10" t="s">
        <v>21</v>
      </c>
      <c r="C4" s="8" t="s">
        <v>188</v>
      </c>
      <c r="D4" s="10" t="s">
        <v>119</v>
      </c>
      <c r="E4" s="55">
        <v>42131</v>
      </c>
      <c r="F4" s="55">
        <v>42131</v>
      </c>
      <c r="G4" s="10" t="s">
        <v>18</v>
      </c>
      <c r="H4" s="27"/>
      <c r="I4" s="27"/>
      <c r="J4" s="27"/>
      <c r="K4" s="28">
        <v>9</v>
      </c>
      <c r="L4" s="27"/>
      <c r="M4" s="27"/>
      <c r="N4" s="27"/>
      <c r="O4" s="26">
        <f t="shared" si="0"/>
        <v>9</v>
      </c>
      <c r="P4" s="27"/>
      <c r="Q4" s="27"/>
      <c r="R4" s="26">
        <f t="shared" ref="R4:R15" si="1">SUM(O4:Q4)</f>
        <v>9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121</v>
      </c>
      <c r="E5" s="55">
        <v>42131</v>
      </c>
      <c r="F5" s="55">
        <v>42131</v>
      </c>
      <c r="G5" s="10" t="s">
        <v>18</v>
      </c>
      <c r="H5" s="27"/>
      <c r="I5" s="27"/>
      <c r="J5" s="27"/>
      <c r="K5" s="28">
        <v>4.5</v>
      </c>
      <c r="L5" s="27"/>
      <c r="M5" s="27"/>
      <c r="N5" s="27"/>
      <c r="O5" s="26">
        <f t="shared" si="0"/>
        <v>4.5</v>
      </c>
      <c r="P5" s="27"/>
      <c r="Q5" s="27"/>
      <c r="R5" s="26">
        <f t="shared" si="1"/>
        <v>4.5</v>
      </c>
    </row>
    <row r="6" spans="1:19" s="12" customFormat="1" ht="12" x14ac:dyDescent="0.2">
      <c r="A6" s="10" t="s">
        <v>20</v>
      </c>
      <c r="B6" s="10" t="s">
        <v>21</v>
      </c>
      <c r="C6" s="11" t="s">
        <v>188</v>
      </c>
      <c r="D6" s="20" t="s">
        <v>120</v>
      </c>
      <c r="E6" s="55">
        <v>42145</v>
      </c>
      <c r="F6" s="55">
        <v>42145</v>
      </c>
      <c r="G6" s="10" t="s">
        <v>18</v>
      </c>
      <c r="H6" s="27"/>
      <c r="I6" s="27"/>
      <c r="J6" s="27"/>
      <c r="K6" s="28">
        <v>10</v>
      </c>
      <c r="L6" s="27"/>
      <c r="M6" s="27"/>
      <c r="N6" s="27"/>
      <c r="O6" s="26">
        <f t="shared" si="0"/>
        <v>10</v>
      </c>
      <c r="P6" s="27"/>
      <c r="Q6" s="27"/>
      <c r="R6" s="26">
        <f t="shared" si="1"/>
        <v>10</v>
      </c>
    </row>
    <row r="7" spans="1:19" s="12" customFormat="1" ht="12" x14ac:dyDescent="0.2">
      <c r="A7" s="10" t="s">
        <v>20</v>
      </c>
      <c r="B7" s="10" t="s">
        <v>21</v>
      </c>
      <c r="C7" s="11" t="s">
        <v>188</v>
      </c>
      <c r="D7" s="20" t="s">
        <v>122</v>
      </c>
      <c r="E7" s="55">
        <v>42149</v>
      </c>
      <c r="F7" s="55">
        <v>42149</v>
      </c>
      <c r="G7" s="10" t="s">
        <v>47</v>
      </c>
      <c r="H7" s="27"/>
      <c r="I7" s="27"/>
      <c r="J7" s="27"/>
      <c r="K7" s="28">
        <v>78.38</v>
      </c>
      <c r="L7" s="27"/>
      <c r="M7" s="27">
        <v>28.75</v>
      </c>
      <c r="N7" s="27"/>
      <c r="O7" s="26">
        <f t="shared" si="0"/>
        <v>107.13</v>
      </c>
      <c r="P7" s="27"/>
      <c r="Q7" s="27"/>
      <c r="R7" s="26">
        <f t="shared" si="1"/>
        <v>107.13</v>
      </c>
    </row>
    <row r="8" spans="1:19" s="12" customFormat="1" ht="12" x14ac:dyDescent="0.2">
      <c r="A8" s="10" t="s">
        <v>20</v>
      </c>
      <c r="B8" s="10" t="s">
        <v>21</v>
      </c>
      <c r="C8" s="8" t="s">
        <v>190</v>
      </c>
      <c r="D8" s="20" t="s">
        <v>123</v>
      </c>
      <c r="E8" s="55">
        <v>42151</v>
      </c>
      <c r="F8" s="55">
        <v>42151</v>
      </c>
      <c r="G8" s="10" t="s">
        <v>18</v>
      </c>
      <c r="H8" s="27"/>
      <c r="I8" s="77">
        <v>1</v>
      </c>
      <c r="J8" s="27"/>
      <c r="K8" s="28"/>
      <c r="L8" s="27"/>
      <c r="M8" s="27"/>
      <c r="N8" s="27"/>
      <c r="O8" s="26">
        <f t="shared" si="0"/>
        <v>0</v>
      </c>
      <c r="P8" s="27">
        <v>52</v>
      </c>
      <c r="Q8" s="27"/>
      <c r="R8" s="26">
        <f t="shared" si="1"/>
        <v>52</v>
      </c>
    </row>
    <row r="9" spans="1:19" s="12" customFormat="1" ht="12.95" customHeight="1" x14ac:dyDescent="0.2">
      <c r="A9" s="10" t="s">
        <v>20</v>
      </c>
      <c r="B9" s="10" t="s">
        <v>21</v>
      </c>
      <c r="C9" s="8" t="s">
        <v>190</v>
      </c>
      <c r="D9" s="20" t="s">
        <v>124</v>
      </c>
      <c r="E9" s="55">
        <v>42157</v>
      </c>
      <c r="F9" s="55">
        <v>42157</v>
      </c>
      <c r="G9" s="10" t="s">
        <v>18</v>
      </c>
      <c r="H9" s="27"/>
      <c r="I9" s="27"/>
      <c r="J9" s="27"/>
      <c r="K9" s="28">
        <v>8</v>
      </c>
      <c r="L9" s="27"/>
      <c r="M9" s="27"/>
      <c r="N9" s="27"/>
      <c r="O9" s="26">
        <f t="shared" si="0"/>
        <v>8</v>
      </c>
      <c r="P9" s="27"/>
      <c r="Q9" s="27"/>
      <c r="R9" s="26">
        <f t="shared" si="1"/>
        <v>8</v>
      </c>
    </row>
    <row r="10" spans="1:19" s="12" customFormat="1" ht="12" x14ac:dyDescent="0.2">
      <c r="A10" s="10" t="s">
        <v>20</v>
      </c>
      <c r="B10" s="10" t="s">
        <v>21</v>
      </c>
      <c r="C10" s="11" t="s">
        <v>188</v>
      </c>
      <c r="D10" s="10" t="s">
        <v>137</v>
      </c>
      <c r="E10" s="55">
        <v>42164</v>
      </c>
      <c r="F10" s="55">
        <v>42164</v>
      </c>
      <c r="G10" s="10" t="s">
        <v>18</v>
      </c>
      <c r="H10" s="27"/>
      <c r="I10" s="27"/>
      <c r="J10" s="27"/>
      <c r="K10" s="28">
        <v>10.62</v>
      </c>
      <c r="L10" s="27"/>
      <c r="M10" s="27"/>
      <c r="N10" s="27"/>
      <c r="O10" s="26">
        <f t="shared" si="0"/>
        <v>10.62</v>
      </c>
      <c r="P10" s="27"/>
      <c r="Q10" s="27"/>
      <c r="R10" s="26">
        <f t="shared" si="1"/>
        <v>10.62</v>
      </c>
    </row>
    <row r="11" spans="1:19" s="49" customFormat="1" ht="12" x14ac:dyDescent="0.2">
      <c r="A11" s="10" t="s">
        <v>20</v>
      </c>
      <c r="B11" s="10" t="s">
        <v>21</v>
      </c>
      <c r="C11" s="8" t="s">
        <v>179</v>
      </c>
      <c r="D11" s="10" t="s">
        <v>117</v>
      </c>
      <c r="E11" s="55">
        <v>42173</v>
      </c>
      <c r="F11" s="55">
        <v>42176</v>
      </c>
      <c r="G11" s="10" t="s">
        <v>118</v>
      </c>
      <c r="H11" s="27"/>
      <c r="I11" s="27"/>
      <c r="J11" s="27">
        <v>308.24</v>
      </c>
      <c r="K11" s="28"/>
      <c r="L11" s="27"/>
      <c r="M11" s="27"/>
      <c r="N11" s="27"/>
      <c r="O11" s="26">
        <f t="shared" ref="O11:O36" si="2">SUM(J11:N11)</f>
        <v>308.24</v>
      </c>
      <c r="P11" s="27"/>
      <c r="Q11" s="27"/>
      <c r="R11" s="26">
        <f t="shared" si="1"/>
        <v>308.24</v>
      </c>
      <c r="S11" s="12"/>
    </row>
    <row r="12" spans="1:19" s="9" customFormat="1" ht="24" x14ac:dyDescent="0.2">
      <c r="A12" s="7" t="s">
        <v>31</v>
      </c>
      <c r="B12" s="14" t="s">
        <v>139</v>
      </c>
      <c r="C12" s="11" t="s">
        <v>188</v>
      </c>
      <c r="D12" s="79" t="s">
        <v>138</v>
      </c>
      <c r="E12" s="55">
        <v>42143</v>
      </c>
      <c r="F12" s="55">
        <v>42145</v>
      </c>
      <c r="G12" s="13" t="s">
        <v>97</v>
      </c>
      <c r="H12" s="52"/>
      <c r="I12" s="27"/>
      <c r="J12" s="28"/>
      <c r="K12" s="28">
        <v>104.47</v>
      </c>
      <c r="L12" s="28">
        <v>463.4</v>
      </c>
      <c r="M12" s="28">
        <v>8.77</v>
      </c>
      <c r="N12" s="28"/>
      <c r="O12" s="26">
        <f t="shared" si="2"/>
        <v>576.64</v>
      </c>
      <c r="P12" s="28"/>
      <c r="Q12" s="28"/>
      <c r="R12" s="26">
        <f t="shared" si="1"/>
        <v>576.64</v>
      </c>
    </row>
    <row r="13" spans="1:19" s="9" customFormat="1" ht="36" x14ac:dyDescent="0.2">
      <c r="A13" s="7" t="s">
        <v>31</v>
      </c>
      <c r="B13" s="14" t="s">
        <v>139</v>
      </c>
      <c r="C13" s="11" t="s">
        <v>189</v>
      </c>
      <c r="D13" s="13" t="s">
        <v>152</v>
      </c>
      <c r="E13" s="55">
        <v>42149</v>
      </c>
      <c r="F13" s="55">
        <v>42149</v>
      </c>
      <c r="G13" s="13" t="s">
        <v>47</v>
      </c>
      <c r="H13" s="52"/>
      <c r="I13" s="27"/>
      <c r="J13" s="28">
        <v>295.85000000000002</v>
      </c>
      <c r="K13" s="28">
        <v>172.95</v>
      </c>
      <c r="L13" s="28"/>
      <c r="M13" s="28"/>
      <c r="N13" s="28"/>
      <c r="O13" s="26">
        <f t="shared" si="2"/>
        <v>468.8</v>
      </c>
      <c r="P13" s="28"/>
      <c r="Q13" s="28"/>
      <c r="R13" s="26">
        <f t="shared" si="1"/>
        <v>468.8</v>
      </c>
    </row>
    <row r="14" spans="1:19" s="9" customFormat="1" ht="48" x14ac:dyDescent="0.2">
      <c r="A14" s="7" t="s">
        <v>31</v>
      </c>
      <c r="B14" s="14" t="s">
        <v>139</v>
      </c>
      <c r="C14" s="11" t="s">
        <v>178</v>
      </c>
      <c r="D14" s="13" t="s">
        <v>178</v>
      </c>
      <c r="E14" s="55">
        <v>42150</v>
      </c>
      <c r="F14" s="55">
        <v>42150</v>
      </c>
      <c r="G14" s="13" t="s">
        <v>99</v>
      </c>
      <c r="H14" s="59" t="s">
        <v>182</v>
      </c>
      <c r="I14" s="27"/>
      <c r="J14" s="28"/>
      <c r="K14" s="28">
        <f>115+20</f>
        <v>135</v>
      </c>
      <c r="L14" s="28"/>
      <c r="M14" s="28">
        <v>79.959999999999994</v>
      </c>
      <c r="N14" s="28"/>
      <c r="O14" s="26">
        <f t="shared" si="2"/>
        <v>214.95999999999998</v>
      </c>
      <c r="P14" s="28"/>
      <c r="Q14" s="28"/>
      <c r="R14" s="26">
        <f t="shared" si="1"/>
        <v>214.95999999999998</v>
      </c>
    </row>
    <row r="15" spans="1:19" s="9" customFormat="1" ht="12" x14ac:dyDescent="0.2">
      <c r="A15" s="10" t="s">
        <v>125</v>
      </c>
      <c r="B15" s="10" t="s">
        <v>25</v>
      </c>
      <c r="C15" s="11" t="s">
        <v>55</v>
      </c>
      <c r="D15" s="20"/>
      <c r="E15" s="55">
        <v>42165</v>
      </c>
      <c r="F15" s="55">
        <v>42166</v>
      </c>
      <c r="G15" s="10" t="s">
        <v>18</v>
      </c>
      <c r="H15" s="27"/>
      <c r="I15" s="27"/>
      <c r="J15" s="27">
        <v>208.24</v>
      </c>
      <c r="K15" s="28">
        <f>295.2+13+24</f>
        <v>332.2</v>
      </c>
      <c r="L15" s="27">
        <v>159.12</v>
      </c>
      <c r="M15" s="27">
        <v>35.46</v>
      </c>
      <c r="N15" s="27"/>
      <c r="O15" s="26">
        <f t="shared" si="2"/>
        <v>735.0200000000001</v>
      </c>
      <c r="P15" s="27"/>
      <c r="Q15" s="27"/>
      <c r="R15" s="26">
        <f t="shared" si="1"/>
        <v>735.0200000000001</v>
      </c>
      <c r="S15" s="12"/>
    </row>
    <row r="16" spans="1:19" s="49" customFormat="1" ht="12" x14ac:dyDescent="0.2">
      <c r="A16" s="37" t="s">
        <v>1</v>
      </c>
      <c r="B16" s="18" t="s">
        <v>25</v>
      </c>
      <c r="C16" s="11" t="s">
        <v>188</v>
      </c>
      <c r="D16" s="20" t="s">
        <v>120</v>
      </c>
      <c r="E16" s="58">
        <v>42145</v>
      </c>
      <c r="F16" s="58">
        <v>42145</v>
      </c>
      <c r="G16" s="57" t="s">
        <v>18</v>
      </c>
      <c r="H16" s="37"/>
      <c r="I16" s="37"/>
      <c r="J16" s="48"/>
      <c r="K16" s="48">
        <v>148.80000000000001</v>
      </c>
      <c r="L16" s="48"/>
      <c r="M16" s="48"/>
      <c r="N16" s="48"/>
      <c r="O16" s="47">
        <f t="shared" si="2"/>
        <v>148.80000000000001</v>
      </c>
      <c r="P16" s="48"/>
      <c r="Q16" s="48"/>
      <c r="R16" s="47">
        <f>SUM(O16:P16:Q16)</f>
        <v>148.80000000000001</v>
      </c>
    </row>
    <row r="17" spans="1:19" s="9" customFormat="1" ht="12" x14ac:dyDescent="0.2">
      <c r="A17" s="37" t="s">
        <v>1</v>
      </c>
      <c r="B17" s="18" t="s">
        <v>25</v>
      </c>
      <c r="C17" s="8" t="s">
        <v>55</v>
      </c>
      <c r="D17" s="18"/>
      <c r="E17" s="58">
        <v>42165</v>
      </c>
      <c r="F17" s="58">
        <v>42166</v>
      </c>
      <c r="G17" s="57" t="s">
        <v>18</v>
      </c>
      <c r="H17" s="37"/>
      <c r="I17" s="37"/>
      <c r="J17" s="48"/>
      <c r="K17" s="48">
        <f>117.6+35</f>
        <v>152.6</v>
      </c>
      <c r="L17" s="48">
        <v>159.12</v>
      </c>
      <c r="M17" s="48">
        <v>7.75</v>
      </c>
      <c r="N17" s="48"/>
      <c r="O17" s="47">
        <f t="shared" si="2"/>
        <v>319.47000000000003</v>
      </c>
      <c r="P17" s="48"/>
      <c r="Q17" s="48"/>
      <c r="R17" s="47">
        <f>SUM(O17:P17:Q17)</f>
        <v>319.47000000000003</v>
      </c>
      <c r="S17" s="49"/>
    </row>
    <row r="18" spans="1:19" s="12" customFormat="1" ht="12" x14ac:dyDescent="0.2">
      <c r="A18" s="10" t="s">
        <v>126</v>
      </c>
      <c r="B18" s="10" t="s">
        <v>25</v>
      </c>
      <c r="C18" s="11" t="s">
        <v>55</v>
      </c>
      <c r="D18" s="20"/>
      <c r="E18" s="55">
        <v>42165</v>
      </c>
      <c r="F18" s="55">
        <v>42166</v>
      </c>
      <c r="G18" s="10" t="s">
        <v>18</v>
      </c>
      <c r="H18" s="27"/>
      <c r="I18" s="27"/>
      <c r="J18" s="27"/>
      <c r="K18" s="28"/>
      <c r="L18" s="27">
        <v>286.42</v>
      </c>
      <c r="M18" s="27"/>
      <c r="N18" s="27"/>
      <c r="O18" s="26">
        <f t="shared" si="2"/>
        <v>286.42</v>
      </c>
      <c r="P18" s="27"/>
      <c r="Q18" s="27"/>
      <c r="R18" s="26">
        <f>SUM(O18:Q18)</f>
        <v>286.42</v>
      </c>
    </row>
    <row r="19" spans="1:19" s="12" customFormat="1" ht="24" x14ac:dyDescent="0.2">
      <c r="A19" s="37" t="s">
        <v>27</v>
      </c>
      <c r="B19" s="18" t="s">
        <v>37</v>
      </c>
      <c r="C19" s="18" t="s">
        <v>53</v>
      </c>
      <c r="D19" s="18" t="s">
        <v>78</v>
      </c>
      <c r="E19" s="58">
        <v>42023</v>
      </c>
      <c r="F19" s="58">
        <v>42024</v>
      </c>
      <c r="G19" s="57" t="s">
        <v>18</v>
      </c>
      <c r="H19" s="37"/>
      <c r="I19" s="37"/>
      <c r="J19" s="48"/>
      <c r="K19" s="48">
        <v>197.5</v>
      </c>
      <c r="L19" s="48"/>
      <c r="M19" s="48">
        <v>24.7</v>
      </c>
      <c r="N19" s="48"/>
      <c r="O19" s="47">
        <f t="shared" si="2"/>
        <v>222.2</v>
      </c>
      <c r="P19" s="48"/>
      <c r="Q19" s="48"/>
      <c r="R19" s="47">
        <f>SUM(O19:P19:Q19)</f>
        <v>222.2</v>
      </c>
      <c r="S19" s="49"/>
    </row>
    <row r="20" spans="1:19" s="12" customFormat="1" ht="12" x14ac:dyDescent="0.2">
      <c r="A20" s="7" t="s">
        <v>27</v>
      </c>
      <c r="B20" s="8" t="s">
        <v>37</v>
      </c>
      <c r="C20" s="8" t="s">
        <v>54</v>
      </c>
      <c r="D20" s="8"/>
      <c r="E20" s="55">
        <v>42026</v>
      </c>
      <c r="F20" s="55">
        <v>42027</v>
      </c>
      <c r="G20" s="13" t="s">
        <v>18</v>
      </c>
      <c r="H20" s="7"/>
      <c r="I20" s="7"/>
      <c r="J20" s="46"/>
      <c r="K20" s="46">
        <v>225.25</v>
      </c>
      <c r="L20" s="46"/>
      <c r="M20" s="46">
        <v>22.66</v>
      </c>
      <c r="N20" s="46"/>
      <c r="O20" s="47">
        <f t="shared" si="2"/>
        <v>247.91</v>
      </c>
      <c r="P20" s="46"/>
      <c r="Q20" s="46"/>
      <c r="R20" s="47">
        <f>SUM(O20:P20:Q20)</f>
        <v>247.91</v>
      </c>
      <c r="S20" s="9"/>
    </row>
    <row r="21" spans="1:19" s="12" customFormat="1" ht="12" x14ac:dyDescent="0.2">
      <c r="A21" s="37" t="s">
        <v>27</v>
      </c>
      <c r="B21" s="18" t="s">
        <v>37</v>
      </c>
      <c r="C21" s="8" t="s">
        <v>190</v>
      </c>
      <c r="D21" s="14" t="s">
        <v>105</v>
      </c>
      <c r="E21" s="55">
        <v>42061</v>
      </c>
      <c r="F21" s="55">
        <v>42061</v>
      </c>
      <c r="G21" s="13" t="s">
        <v>18</v>
      </c>
      <c r="H21" s="7"/>
      <c r="I21" s="7"/>
      <c r="J21" s="7"/>
      <c r="K21" s="51">
        <v>204.5</v>
      </c>
      <c r="L21" s="7"/>
      <c r="M21" s="46">
        <v>16.2</v>
      </c>
      <c r="N21" s="7"/>
      <c r="O21" s="47">
        <f t="shared" si="2"/>
        <v>220.7</v>
      </c>
      <c r="P21" s="7"/>
      <c r="Q21" s="7"/>
      <c r="R21" s="47">
        <f>SUM(O21:P21:Q21)</f>
        <v>220.7</v>
      </c>
      <c r="S21" s="9"/>
    </row>
    <row r="22" spans="1:19" s="12" customFormat="1" ht="12" x14ac:dyDescent="0.2">
      <c r="A22" s="7" t="s">
        <v>27</v>
      </c>
      <c r="B22" s="8" t="s">
        <v>37</v>
      </c>
      <c r="C22" s="8" t="s">
        <v>179</v>
      </c>
      <c r="D22" s="20" t="s">
        <v>60</v>
      </c>
      <c r="E22" s="55">
        <v>42087</v>
      </c>
      <c r="F22" s="55">
        <v>42087</v>
      </c>
      <c r="G22" s="13" t="s">
        <v>18</v>
      </c>
      <c r="H22" s="7"/>
      <c r="I22" s="7"/>
      <c r="J22" s="46"/>
      <c r="K22" s="46">
        <v>110.62</v>
      </c>
      <c r="L22" s="46"/>
      <c r="M22" s="46">
        <v>19.21</v>
      </c>
      <c r="N22" s="46"/>
      <c r="O22" s="47">
        <f t="shared" si="2"/>
        <v>129.83000000000001</v>
      </c>
      <c r="P22" s="46"/>
      <c r="Q22" s="46"/>
      <c r="R22" s="47">
        <f>SUM(O22:P22:Q22)</f>
        <v>129.83000000000001</v>
      </c>
      <c r="S22" s="9"/>
    </row>
    <row r="23" spans="1:19" s="49" customFormat="1" ht="12" x14ac:dyDescent="0.2">
      <c r="A23" s="7" t="s">
        <v>27</v>
      </c>
      <c r="B23" s="8" t="s">
        <v>37</v>
      </c>
      <c r="C23" s="8" t="s">
        <v>55</v>
      </c>
      <c r="D23" s="20"/>
      <c r="E23" s="55">
        <v>42088</v>
      </c>
      <c r="F23" s="55">
        <v>42089</v>
      </c>
      <c r="G23" s="13" t="s">
        <v>18</v>
      </c>
      <c r="H23" s="7"/>
      <c r="I23" s="7"/>
      <c r="J23" s="46"/>
      <c r="K23" s="46">
        <v>110.63</v>
      </c>
      <c r="L23" s="80"/>
      <c r="M23" s="46">
        <v>19.22</v>
      </c>
      <c r="N23" s="46"/>
      <c r="O23" s="47">
        <f t="shared" si="2"/>
        <v>129.85</v>
      </c>
      <c r="P23" s="46"/>
      <c r="Q23" s="46"/>
      <c r="R23" s="47">
        <f>SUM(O23:P23:Q23)</f>
        <v>129.85</v>
      </c>
      <c r="S23" s="9"/>
    </row>
    <row r="24" spans="1:19" s="12" customFormat="1" ht="12" x14ac:dyDescent="0.2">
      <c r="A24" s="7" t="s">
        <v>27</v>
      </c>
      <c r="B24" s="8" t="s">
        <v>37</v>
      </c>
      <c r="C24" s="18" t="s">
        <v>192</v>
      </c>
      <c r="D24" s="18"/>
      <c r="E24" s="58">
        <v>42156</v>
      </c>
      <c r="F24" s="55">
        <v>42156</v>
      </c>
      <c r="G24" s="57" t="s">
        <v>18</v>
      </c>
      <c r="H24" s="39"/>
      <c r="I24" s="39"/>
      <c r="J24" s="40"/>
      <c r="K24" s="28">
        <v>198.5</v>
      </c>
      <c r="L24" s="7"/>
      <c r="M24" s="28"/>
      <c r="N24" s="40"/>
      <c r="O24" s="26">
        <f t="shared" si="2"/>
        <v>198.5</v>
      </c>
      <c r="P24" s="40"/>
      <c r="Q24" s="40"/>
      <c r="R24" s="26">
        <f>SUM(O24:P24:Q24)</f>
        <v>198.5</v>
      </c>
      <c r="S24" s="9"/>
    </row>
    <row r="25" spans="1:19" s="12" customFormat="1" ht="12" x14ac:dyDescent="0.2">
      <c r="A25" s="7" t="s">
        <v>27</v>
      </c>
      <c r="B25" s="8" t="s">
        <v>37</v>
      </c>
      <c r="C25" s="8" t="s">
        <v>179</v>
      </c>
      <c r="D25" s="20" t="s">
        <v>106</v>
      </c>
      <c r="E25" s="55">
        <v>42159</v>
      </c>
      <c r="F25" s="55">
        <v>42160</v>
      </c>
      <c r="G25" s="13" t="s">
        <v>18</v>
      </c>
      <c r="H25" s="7"/>
      <c r="I25" s="7"/>
      <c r="J25" s="46"/>
      <c r="K25" s="46">
        <v>316</v>
      </c>
      <c r="L25" s="46">
        <v>183.77</v>
      </c>
      <c r="M25" s="46">
        <v>10.44</v>
      </c>
      <c r="N25" s="46"/>
      <c r="O25" s="47">
        <f t="shared" si="2"/>
        <v>510.21</v>
      </c>
      <c r="P25" s="46"/>
      <c r="Q25" s="46"/>
      <c r="R25" s="47">
        <f>SUM(O25:P25:Q25)</f>
        <v>510.21</v>
      </c>
      <c r="S25" s="9"/>
    </row>
    <row r="26" spans="1:19" s="12" customFormat="1" ht="12" x14ac:dyDescent="0.2">
      <c r="A26" s="7" t="s">
        <v>27</v>
      </c>
      <c r="B26" s="8" t="s">
        <v>37</v>
      </c>
      <c r="C26" s="8" t="s">
        <v>55</v>
      </c>
      <c r="D26" s="20"/>
      <c r="E26" s="55">
        <v>42164</v>
      </c>
      <c r="F26" s="55">
        <v>42166</v>
      </c>
      <c r="G26" s="13" t="s">
        <v>18</v>
      </c>
      <c r="H26" s="7"/>
      <c r="I26" s="7"/>
      <c r="J26" s="46"/>
      <c r="K26" s="46">
        <v>242</v>
      </c>
      <c r="L26" s="46">
        <v>318.24</v>
      </c>
      <c r="M26" s="46">
        <v>35.76</v>
      </c>
      <c r="N26" s="46"/>
      <c r="O26" s="47">
        <f t="shared" si="2"/>
        <v>596</v>
      </c>
      <c r="P26" s="46"/>
      <c r="Q26" s="46"/>
      <c r="R26" s="47">
        <f>SUM(O26:P26:Q26)</f>
        <v>596</v>
      </c>
      <c r="S26" s="9"/>
    </row>
    <row r="27" spans="1:19" s="12" customFormat="1" ht="12" x14ac:dyDescent="0.2">
      <c r="A27" s="10" t="s">
        <v>50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27"/>
      <c r="J27" s="27"/>
      <c r="K27" s="28">
        <v>35</v>
      </c>
      <c r="L27" s="27">
        <v>159.12</v>
      </c>
      <c r="M27" s="27"/>
      <c r="N27" s="27"/>
      <c r="O27" s="26">
        <f t="shared" si="2"/>
        <v>194.12</v>
      </c>
      <c r="P27" s="27"/>
      <c r="Q27" s="27"/>
      <c r="R27" s="47">
        <f>SUM(O27:P27:Q27)</f>
        <v>194.12</v>
      </c>
    </row>
    <row r="28" spans="1:19" s="49" customFormat="1" ht="12" x14ac:dyDescent="0.2">
      <c r="A28" s="7" t="s">
        <v>33</v>
      </c>
      <c r="B28" s="14" t="s">
        <v>34</v>
      </c>
      <c r="C28" s="11" t="s">
        <v>188</v>
      </c>
      <c r="D28" s="13" t="s">
        <v>136</v>
      </c>
      <c r="E28" s="55">
        <v>42155</v>
      </c>
      <c r="F28" s="55">
        <v>42156</v>
      </c>
      <c r="G28" s="13" t="s">
        <v>47</v>
      </c>
      <c r="H28" s="34"/>
      <c r="I28" s="34"/>
      <c r="J28" s="35">
        <v>386.65</v>
      </c>
      <c r="K28" s="35">
        <v>252.37</v>
      </c>
      <c r="L28" s="35">
        <v>258.13</v>
      </c>
      <c r="M28" s="35">
        <v>9.9499999999999993</v>
      </c>
      <c r="N28" s="35"/>
      <c r="O28" s="36">
        <f t="shared" si="2"/>
        <v>907.1</v>
      </c>
      <c r="P28" s="35"/>
      <c r="Q28" s="35"/>
      <c r="R28" s="36">
        <f t="shared" ref="R28:R38" si="3">SUM(O28:Q28)</f>
        <v>907.1</v>
      </c>
      <c r="S28" s="9"/>
    </row>
    <row r="29" spans="1:19" s="49" customFormat="1" ht="12" x14ac:dyDescent="0.2">
      <c r="A29" s="7" t="s">
        <v>33</v>
      </c>
      <c r="B29" s="14" t="s">
        <v>34</v>
      </c>
      <c r="C29" s="11" t="s">
        <v>178</v>
      </c>
      <c r="D29" s="11" t="s">
        <v>178</v>
      </c>
      <c r="E29" s="55">
        <v>42165</v>
      </c>
      <c r="F29" s="55">
        <v>42165</v>
      </c>
      <c r="G29" s="13" t="s">
        <v>93</v>
      </c>
      <c r="H29" s="34"/>
      <c r="I29" s="34"/>
      <c r="J29" s="35">
        <v>547.25</v>
      </c>
      <c r="K29" s="35"/>
      <c r="L29" s="35"/>
      <c r="M29" s="35"/>
      <c r="N29" s="35"/>
      <c r="O29" s="36">
        <f t="shared" si="2"/>
        <v>547.25</v>
      </c>
      <c r="P29" s="35"/>
      <c r="Q29" s="35"/>
      <c r="R29" s="36">
        <f t="shared" si="3"/>
        <v>547.25</v>
      </c>
      <c r="S29" s="9"/>
    </row>
    <row r="30" spans="1:19" s="9" customFormat="1" ht="12" x14ac:dyDescent="0.2">
      <c r="A30" s="7" t="s">
        <v>33</v>
      </c>
      <c r="B30" s="14" t="s">
        <v>34</v>
      </c>
      <c r="C30" s="11" t="s">
        <v>169</v>
      </c>
      <c r="D30" s="13" t="s">
        <v>132</v>
      </c>
      <c r="E30" s="55">
        <v>42177</v>
      </c>
      <c r="F30" s="55">
        <v>42177</v>
      </c>
      <c r="G30" s="13" t="s">
        <v>47</v>
      </c>
      <c r="H30" s="34"/>
      <c r="I30" s="34"/>
      <c r="J30" s="35">
        <v>391.25</v>
      </c>
      <c r="K30" s="35"/>
      <c r="L30" s="35"/>
      <c r="M30" s="35"/>
      <c r="N30" s="35"/>
      <c r="O30" s="47">
        <f t="shared" si="2"/>
        <v>391.25</v>
      </c>
      <c r="P30" s="35"/>
      <c r="Q30" s="35"/>
      <c r="R30" s="47">
        <f t="shared" si="3"/>
        <v>391.25</v>
      </c>
    </row>
    <row r="31" spans="1:19" s="9" customFormat="1" ht="12" x14ac:dyDescent="0.2">
      <c r="A31" s="7" t="s">
        <v>2</v>
      </c>
      <c r="B31" s="8" t="s">
        <v>191</v>
      </c>
      <c r="C31" s="11" t="s">
        <v>194</v>
      </c>
      <c r="D31" s="8" t="s">
        <v>98</v>
      </c>
      <c r="E31" s="62">
        <v>42148</v>
      </c>
      <c r="F31" s="62">
        <v>42150</v>
      </c>
      <c r="G31" s="13" t="s">
        <v>180</v>
      </c>
      <c r="H31" s="7"/>
      <c r="I31" s="7"/>
      <c r="J31" s="46"/>
      <c r="K31" s="51"/>
      <c r="L31" s="46">
        <v>554.88</v>
      </c>
      <c r="M31" s="46">
        <v>18.96</v>
      </c>
      <c r="N31" s="46"/>
      <c r="O31" s="47">
        <f t="shared" si="2"/>
        <v>573.84</v>
      </c>
      <c r="P31" s="46"/>
      <c r="Q31" s="46"/>
      <c r="R31" s="47">
        <f t="shared" si="3"/>
        <v>573.84</v>
      </c>
    </row>
    <row r="32" spans="1:19" s="9" customFormat="1" ht="12" x14ac:dyDescent="0.2">
      <c r="A32" s="37" t="s">
        <v>2</v>
      </c>
      <c r="B32" s="18" t="s">
        <v>191</v>
      </c>
      <c r="C32" s="11" t="s">
        <v>169</v>
      </c>
      <c r="D32" s="18" t="s">
        <v>132</v>
      </c>
      <c r="E32" s="55">
        <v>42181</v>
      </c>
      <c r="F32" s="55">
        <v>42182</v>
      </c>
      <c r="G32" s="57" t="s">
        <v>118</v>
      </c>
      <c r="H32" s="37"/>
      <c r="I32" s="37"/>
      <c r="J32" s="48">
        <v>311.24</v>
      </c>
      <c r="K32" s="54"/>
      <c r="L32" s="48">
        <v>119</v>
      </c>
      <c r="M32" s="48"/>
      <c r="N32" s="48"/>
      <c r="O32" s="47">
        <f t="shared" si="2"/>
        <v>430.24</v>
      </c>
      <c r="P32" s="48"/>
      <c r="Q32" s="48"/>
      <c r="R32" s="47">
        <f t="shared" si="3"/>
        <v>430.24</v>
      </c>
      <c r="S32" s="49"/>
    </row>
    <row r="33" spans="1:19" s="9" customFormat="1" ht="24" x14ac:dyDescent="0.2">
      <c r="A33" s="37" t="s">
        <v>133</v>
      </c>
      <c r="B33" s="18" t="s">
        <v>177</v>
      </c>
      <c r="C33" s="11" t="s">
        <v>186</v>
      </c>
      <c r="D33" s="18" t="s">
        <v>134</v>
      </c>
      <c r="E33" s="58">
        <v>42162</v>
      </c>
      <c r="F33" s="58">
        <v>42163</v>
      </c>
      <c r="G33" s="57" t="s">
        <v>135</v>
      </c>
      <c r="H33" s="37"/>
      <c r="I33" s="37"/>
      <c r="J33" s="48">
        <v>506.74</v>
      </c>
      <c r="K33" s="54"/>
      <c r="L33" s="48"/>
      <c r="M33" s="48"/>
      <c r="N33" s="48"/>
      <c r="O33" s="47">
        <f t="shared" si="2"/>
        <v>506.74</v>
      </c>
      <c r="P33" s="48"/>
      <c r="Q33" s="48"/>
      <c r="R33" s="47">
        <f t="shared" si="3"/>
        <v>506.74</v>
      </c>
      <c r="S33" s="49"/>
    </row>
    <row r="34" spans="1:19" s="9" customFormat="1" ht="12" x14ac:dyDescent="0.2">
      <c r="A34" s="10" t="s">
        <v>102</v>
      </c>
      <c r="B34" s="10" t="s">
        <v>25</v>
      </c>
      <c r="C34" s="11" t="s">
        <v>55</v>
      </c>
      <c r="D34" s="20"/>
      <c r="E34" s="55">
        <v>42165</v>
      </c>
      <c r="F34" s="55">
        <v>42166</v>
      </c>
      <c r="G34" s="10" t="s">
        <v>18</v>
      </c>
      <c r="H34" s="27"/>
      <c r="I34" s="27"/>
      <c r="J34" s="27"/>
      <c r="K34" s="28"/>
      <c r="L34" s="27">
        <v>159.12</v>
      </c>
      <c r="M34" s="27"/>
      <c r="N34" s="27"/>
      <c r="O34" s="47">
        <f t="shared" si="2"/>
        <v>159.12</v>
      </c>
      <c r="P34" s="27"/>
      <c r="Q34" s="27"/>
      <c r="R34" s="26">
        <f t="shared" si="3"/>
        <v>159.12</v>
      </c>
      <c r="S34" s="12"/>
    </row>
    <row r="35" spans="1:19" s="9" customFormat="1" ht="12" x14ac:dyDescent="0.2">
      <c r="A35" s="10" t="s">
        <v>38</v>
      </c>
      <c r="B35" s="13" t="s">
        <v>168</v>
      </c>
      <c r="C35" s="11" t="s">
        <v>178</v>
      </c>
      <c r="D35" s="11" t="s">
        <v>178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/>
      <c r="L35" s="28"/>
      <c r="M35" s="28">
        <v>10.08</v>
      </c>
      <c r="N35" s="28"/>
      <c r="O35" s="47">
        <f t="shared" si="2"/>
        <v>10.08</v>
      </c>
      <c r="P35" s="28"/>
      <c r="Q35" s="28"/>
      <c r="R35" s="26">
        <f t="shared" si="3"/>
        <v>10.08</v>
      </c>
      <c r="S35" s="12"/>
    </row>
    <row r="36" spans="1:19" s="9" customFormat="1" ht="12" x14ac:dyDescent="0.2">
      <c r="A36" s="10" t="s">
        <v>38</v>
      </c>
      <c r="B36" s="13" t="s">
        <v>168</v>
      </c>
      <c r="C36" s="11" t="s">
        <v>178</v>
      </c>
      <c r="D36" s="11" t="s">
        <v>178</v>
      </c>
      <c r="E36" s="55">
        <v>42145</v>
      </c>
      <c r="F36" s="55">
        <v>42145</v>
      </c>
      <c r="G36" s="13" t="s">
        <v>128</v>
      </c>
      <c r="H36" s="27"/>
      <c r="I36" s="27"/>
      <c r="J36" s="28"/>
      <c r="K36" s="28">
        <f>141+20.13</f>
        <v>161.13</v>
      </c>
      <c r="L36" s="28">
        <v>165</v>
      </c>
      <c r="M36" s="28"/>
      <c r="N36" s="28"/>
      <c r="O36" s="47">
        <f t="shared" si="2"/>
        <v>326.13</v>
      </c>
      <c r="P36" s="28"/>
      <c r="Q36" s="28"/>
      <c r="R36" s="26">
        <f t="shared" si="3"/>
        <v>326.13</v>
      </c>
      <c r="S36" s="12"/>
    </row>
    <row r="37" spans="1:19" s="9" customFormat="1" ht="12" x14ac:dyDescent="0.2">
      <c r="A37" s="10" t="s">
        <v>38</v>
      </c>
      <c r="B37" s="13" t="s">
        <v>168</v>
      </c>
      <c r="C37" s="11" t="s">
        <v>130</v>
      </c>
      <c r="D37" s="11" t="s">
        <v>131</v>
      </c>
      <c r="E37" s="55">
        <v>42147</v>
      </c>
      <c r="F37" s="55">
        <v>42147</v>
      </c>
      <c r="G37" s="13" t="s">
        <v>18</v>
      </c>
      <c r="H37" s="27"/>
      <c r="I37" s="27"/>
      <c r="J37" s="28"/>
      <c r="K37" s="28">
        <v>5</v>
      </c>
      <c r="L37" s="28"/>
      <c r="M37" s="28"/>
      <c r="N37" s="28"/>
      <c r="O37" s="26">
        <f>SUM(J37:N37)</f>
        <v>5</v>
      </c>
      <c r="P37" s="28"/>
      <c r="Q37" s="28"/>
      <c r="R37" s="26">
        <f t="shared" si="3"/>
        <v>5</v>
      </c>
      <c r="S37" s="12"/>
    </row>
    <row r="38" spans="1:19" s="9" customFormat="1" ht="12" x14ac:dyDescent="0.2">
      <c r="A38" s="10" t="s">
        <v>38</v>
      </c>
      <c r="B38" s="13" t="s">
        <v>168</v>
      </c>
      <c r="C38" s="11" t="s">
        <v>178</v>
      </c>
      <c r="D38" s="11" t="s">
        <v>178</v>
      </c>
      <c r="E38" s="55">
        <v>42152</v>
      </c>
      <c r="F38" s="55">
        <v>42152</v>
      </c>
      <c r="G38" s="13" t="s">
        <v>18</v>
      </c>
      <c r="H38" s="27"/>
      <c r="I38" s="27"/>
      <c r="J38" s="28"/>
      <c r="K38" s="28"/>
      <c r="L38" s="28"/>
      <c r="M38" s="28">
        <v>9.9499999999999993</v>
      </c>
      <c r="N38" s="28"/>
      <c r="O38" s="26">
        <f>SUM(J38:N38)</f>
        <v>9.9499999999999993</v>
      </c>
      <c r="P38" s="28"/>
      <c r="Q38" s="28"/>
      <c r="R38" s="26">
        <f t="shared" si="3"/>
        <v>9.9499999999999993</v>
      </c>
      <c r="S38" s="12"/>
    </row>
    <row r="39" spans="1:19" s="49" customFormat="1" ht="12" x14ac:dyDescent="0.2"/>
    <row r="43" spans="1:19" x14ac:dyDescent="0.2">
      <c r="A43" t="s">
        <v>112</v>
      </c>
    </row>
  </sheetData>
  <sortState xmlns:xlrd2="http://schemas.microsoft.com/office/spreadsheetml/2017/richdata2"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0"/>
  <sheetViews>
    <sheetView view="pageBreakPreview" topLeftCell="A4" zoomScale="60" zoomScaleNormal="90" workbookViewId="0">
      <selection activeCell="C7" sqref="C7"/>
    </sheetView>
  </sheetViews>
  <sheetFormatPr defaultRowHeight="14.25" x14ac:dyDescent="0.2"/>
  <cols>
    <col min="1" max="1" width="16.5" bestFit="1" customWidth="1"/>
    <col min="2" max="2" width="27.75" bestFit="1" customWidth="1"/>
    <col min="3" max="3" width="30.625" bestFit="1" customWidth="1"/>
    <col min="4" max="4" width="26.5" customWidth="1"/>
    <col min="5" max="6" width="9.87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7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24" x14ac:dyDescent="0.2">
      <c r="A3" s="10" t="s">
        <v>20</v>
      </c>
      <c r="B3" s="10" t="s">
        <v>21</v>
      </c>
      <c r="C3" s="8" t="s">
        <v>193</v>
      </c>
      <c r="D3" s="10" t="s">
        <v>175</v>
      </c>
      <c r="E3" s="55">
        <v>42115</v>
      </c>
      <c r="F3" s="55">
        <v>42115</v>
      </c>
      <c r="G3" s="10" t="s">
        <v>18</v>
      </c>
      <c r="H3" s="27"/>
      <c r="I3" s="27"/>
      <c r="J3" s="27"/>
      <c r="K3" s="28">
        <v>22</v>
      </c>
      <c r="L3" s="27"/>
      <c r="M3" s="27"/>
      <c r="N3" s="27"/>
      <c r="O3" s="26">
        <f t="shared" si="0"/>
        <v>22</v>
      </c>
      <c r="P3" s="27"/>
      <c r="Q3" s="27"/>
      <c r="R3" s="26">
        <f t="shared" ref="R3:R12" si="1">SUM(O3:Q3)</f>
        <v>22</v>
      </c>
    </row>
    <row r="4" spans="1:19" s="12" customFormat="1" ht="24" x14ac:dyDescent="0.2">
      <c r="A4" s="10" t="s">
        <v>20</v>
      </c>
      <c r="B4" s="10" t="s">
        <v>21</v>
      </c>
      <c r="C4" s="11" t="s">
        <v>186</v>
      </c>
      <c r="D4" s="20" t="s">
        <v>141</v>
      </c>
      <c r="E4" s="55">
        <v>42130</v>
      </c>
      <c r="F4" s="55">
        <v>42130</v>
      </c>
      <c r="G4" s="10" t="s">
        <v>47</v>
      </c>
      <c r="H4" s="27"/>
      <c r="I4" s="27"/>
      <c r="J4" s="27"/>
      <c r="K4" s="28">
        <v>70</v>
      </c>
      <c r="L4" s="27"/>
      <c r="M4" s="27">
        <v>7.75</v>
      </c>
      <c r="N4" s="27"/>
      <c r="O4" s="26">
        <f t="shared" si="0"/>
        <v>77.75</v>
      </c>
      <c r="P4" s="27"/>
      <c r="Q4" s="27"/>
      <c r="R4" s="26">
        <f t="shared" si="1"/>
        <v>77.75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142</v>
      </c>
      <c r="E5" s="55">
        <v>42137</v>
      </c>
      <c r="F5" s="55">
        <v>42137</v>
      </c>
      <c r="G5" s="10" t="s">
        <v>18</v>
      </c>
      <c r="H5" s="27"/>
      <c r="I5" s="27"/>
      <c r="J5" s="27"/>
      <c r="K5" s="28">
        <v>19.5</v>
      </c>
      <c r="L5" s="27"/>
      <c r="M5" s="27"/>
      <c r="N5" s="27"/>
      <c r="O5" s="26">
        <f t="shared" si="0"/>
        <v>19.5</v>
      </c>
      <c r="P5" s="27"/>
      <c r="Q5" s="27"/>
      <c r="R5" s="26">
        <f t="shared" si="1"/>
        <v>19.5</v>
      </c>
    </row>
    <row r="6" spans="1:19" s="12" customFormat="1" ht="24" x14ac:dyDescent="0.2">
      <c r="A6" s="10" t="s">
        <v>20</v>
      </c>
      <c r="B6" s="10" t="s">
        <v>21</v>
      </c>
      <c r="C6" s="8" t="s">
        <v>195</v>
      </c>
      <c r="D6" s="20" t="s">
        <v>164</v>
      </c>
      <c r="E6" s="55">
        <v>42143</v>
      </c>
      <c r="F6" s="55">
        <v>42153</v>
      </c>
      <c r="G6" s="13" t="s">
        <v>18</v>
      </c>
      <c r="H6" s="7"/>
      <c r="I6" s="7"/>
      <c r="J6" s="46"/>
      <c r="K6" s="46">
        <v>48.25</v>
      </c>
      <c r="L6" s="46"/>
      <c r="M6" s="46"/>
      <c r="N6" s="46"/>
      <c r="O6" s="26">
        <f t="shared" si="0"/>
        <v>48.25</v>
      </c>
      <c r="P6" s="46"/>
      <c r="Q6" s="46"/>
      <c r="R6" s="26">
        <f t="shared" si="1"/>
        <v>48.25</v>
      </c>
      <c r="S6" s="9"/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122</v>
      </c>
      <c r="E8" s="55">
        <v>42149</v>
      </c>
      <c r="F8" s="55">
        <v>42149</v>
      </c>
      <c r="G8" s="10" t="s">
        <v>47</v>
      </c>
      <c r="H8" s="27"/>
      <c r="I8" s="27"/>
      <c r="J8" s="27"/>
      <c r="K8" s="28">
        <v>21.9</v>
      </c>
      <c r="L8" s="27"/>
      <c r="M8" s="27"/>
      <c r="N8" s="27"/>
      <c r="O8" s="26">
        <f t="shared" ref="O8:O40" si="2">SUM(J8:N8)</f>
        <v>21.9</v>
      </c>
      <c r="P8" s="27"/>
      <c r="Q8" s="27"/>
      <c r="R8" s="26">
        <f t="shared" si="1"/>
        <v>21.9</v>
      </c>
    </row>
    <row r="9" spans="1:19" s="9" customFormat="1" ht="24" x14ac:dyDescent="0.2">
      <c r="A9" s="10" t="s">
        <v>20</v>
      </c>
      <c r="B9" s="10" t="s">
        <v>21</v>
      </c>
      <c r="C9" s="11" t="s">
        <v>186</v>
      </c>
      <c r="D9" s="10" t="s">
        <v>140</v>
      </c>
      <c r="E9" s="55">
        <v>42158</v>
      </c>
      <c r="F9" s="55">
        <v>42158</v>
      </c>
      <c r="G9" s="10" t="s">
        <v>18</v>
      </c>
      <c r="H9" s="27"/>
      <c r="I9" s="27"/>
      <c r="J9" s="27"/>
      <c r="K9" s="28">
        <v>32</v>
      </c>
      <c r="L9" s="27"/>
      <c r="M9" s="27"/>
      <c r="N9" s="27"/>
      <c r="O9" s="26">
        <f t="shared" si="2"/>
        <v>32</v>
      </c>
      <c r="P9" s="27"/>
      <c r="Q9" s="27"/>
      <c r="R9" s="26">
        <f t="shared" si="1"/>
        <v>32</v>
      </c>
      <c r="S9" s="12"/>
    </row>
    <row r="10" spans="1:19" s="12" customFormat="1" ht="24" x14ac:dyDescent="0.2">
      <c r="A10" s="10" t="s">
        <v>20</v>
      </c>
      <c r="B10" s="10" t="s">
        <v>21</v>
      </c>
      <c r="C10" s="11" t="s">
        <v>186</v>
      </c>
      <c r="D10" s="10" t="s">
        <v>143</v>
      </c>
      <c r="E10" s="55">
        <v>42159</v>
      </c>
      <c r="F10" s="55">
        <v>42159</v>
      </c>
      <c r="G10" s="10" t="s">
        <v>18</v>
      </c>
      <c r="H10" s="27"/>
      <c r="I10" s="27"/>
      <c r="J10" s="27"/>
      <c r="K10" s="28">
        <v>64</v>
      </c>
      <c r="L10" s="27"/>
      <c r="M10" s="27"/>
      <c r="N10" s="27"/>
      <c r="O10" s="26">
        <f t="shared" si="2"/>
        <v>64</v>
      </c>
      <c r="P10" s="27"/>
      <c r="Q10" s="27"/>
      <c r="R10" s="26">
        <f t="shared" si="1"/>
        <v>64</v>
      </c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153</v>
      </c>
      <c r="E11" s="55">
        <v>42163</v>
      </c>
      <c r="F11" s="55">
        <v>42164</v>
      </c>
      <c r="G11" s="10" t="s">
        <v>144</v>
      </c>
      <c r="H11" s="27"/>
      <c r="I11" s="27"/>
      <c r="J11" s="27"/>
      <c r="K11" s="28">
        <v>112.6</v>
      </c>
      <c r="L11" s="27">
        <v>135</v>
      </c>
      <c r="M11" s="27"/>
      <c r="N11" s="27"/>
      <c r="O11" s="26">
        <f t="shared" ref="O11:O18" si="3">SUM(J11:N11)</f>
        <v>247.6</v>
      </c>
      <c r="P11" s="27"/>
      <c r="Q11" s="27"/>
      <c r="R11" s="26">
        <f t="shared" si="1"/>
        <v>247.6</v>
      </c>
    </row>
    <row r="12" spans="1:19" s="12" customFormat="1" ht="12" x14ac:dyDescent="0.2">
      <c r="A12" s="10" t="s">
        <v>20</v>
      </c>
      <c r="B12" s="10" t="s">
        <v>21</v>
      </c>
      <c r="C12" s="11" t="s">
        <v>179</v>
      </c>
      <c r="D12" s="10" t="s">
        <v>163</v>
      </c>
      <c r="E12" s="55">
        <v>42173</v>
      </c>
      <c r="F12" s="55">
        <v>42176</v>
      </c>
      <c r="G12" s="10" t="s">
        <v>118</v>
      </c>
      <c r="H12" s="27"/>
      <c r="I12" s="27"/>
      <c r="J12" s="27"/>
      <c r="K12" s="28">
        <f>122.4+29</f>
        <v>151.4</v>
      </c>
      <c r="L12" s="27"/>
      <c r="M12" s="27">
        <v>45.07</v>
      </c>
      <c r="N12" s="27"/>
      <c r="O12" s="26">
        <f t="shared" si="3"/>
        <v>196.47</v>
      </c>
      <c r="P12" s="27"/>
      <c r="Q12" s="27"/>
      <c r="R12" s="26">
        <f t="shared" si="1"/>
        <v>196.47</v>
      </c>
    </row>
    <row r="13" spans="1:19" s="12" customFormat="1" ht="12" x14ac:dyDescent="0.2">
      <c r="A13" s="10" t="s">
        <v>20</v>
      </c>
      <c r="B13" s="10" t="s">
        <v>21</v>
      </c>
      <c r="C13" s="8" t="s">
        <v>179</v>
      </c>
      <c r="D13" s="20" t="s">
        <v>60</v>
      </c>
      <c r="E13" s="55">
        <v>42179</v>
      </c>
      <c r="F13" s="55">
        <v>42179</v>
      </c>
      <c r="G13" s="13" t="s">
        <v>18</v>
      </c>
      <c r="H13" s="7"/>
      <c r="I13" s="7"/>
      <c r="J13" s="46"/>
      <c r="K13" s="46">
        <v>16.8</v>
      </c>
      <c r="L13" s="46"/>
      <c r="M13" s="46"/>
      <c r="N13" s="46"/>
      <c r="O13" s="47">
        <f t="shared" si="3"/>
        <v>16.8</v>
      </c>
      <c r="P13" s="46"/>
      <c r="Q13" s="46"/>
      <c r="R13" s="47">
        <f>SUM(O13:P13:Q13)</f>
        <v>16.8</v>
      </c>
      <c r="S13" s="9"/>
    </row>
    <row r="14" spans="1:19" s="9" customFormat="1" ht="12" x14ac:dyDescent="0.2">
      <c r="A14" s="10" t="s">
        <v>20</v>
      </c>
      <c r="B14" s="10" t="s">
        <v>21</v>
      </c>
      <c r="C14" s="11" t="s">
        <v>172</v>
      </c>
      <c r="D14" s="10" t="s">
        <v>145</v>
      </c>
      <c r="E14" s="55">
        <v>42180</v>
      </c>
      <c r="F14" s="55">
        <v>42180</v>
      </c>
      <c r="G14" s="10" t="s">
        <v>18</v>
      </c>
      <c r="H14" s="27"/>
      <c r="I14" s="27"/>
      <c r="J14" s="27"/>
      <c r="K14" s="28">
        <v>22.04</v>
      </c>
      <c r="L14" s="27"/>
      <c r="M14" s="27"/>
      <c r="N14" s="27"/>
      <c r="O14" s="26">
        <f t="shared" si="3"/>
        <v>22.04</v>
      </c>
      <c r="P14" s="27"/>
      <c r="Q14" s="27"/>
      <c r="R14" s="26">
        <f>SUM(O14:Q14)</f>
        <v>22.04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172</v>
      </c>
      <c r="D15" s="10" t="s">
        <v>146</v>
      </c>
      <c r="E15" s="55">
        <v>42182</v>
      </c>
      <c r="F15" s="55">
        <v>42182</v>
      </c>
      <c r="G15" s="10" t="s">
        <v>18</v>
      </c>
      <c r="H15" s="27"/>
      <c r="I15" s="27"/>
      <c r="J15" s="27"/>
      <c r="K15" s="28">
        <v>3.25</v>
      </c>
      <c r="L15" s="27"/>
      <c r="M15" s="27"/>
      <c r="N15" s="27"/>
      <c r="O15" s="26">
        <f t="shared" si="3"/>
        <v>3.25</v>
      </c>
      <c r="P15" s="27"/>
      <c r="Q15" s="27"/>
      <c r="R15" s="26">
        <f>SUM(O15:Q15)</f>
        <v>3.25</v>
      </c>
      <c r="S15" s="12"/>
    </row>
    <row r="16" spans="1:19" s="12" customFormat="1" ht="12" x14ac:dyDescent="0.2">
      <c r="A16" s="10" t="s">
        <v>20</v>
      </c>
      <c r="B16" s="10" t="s">
        <v>21</v>
      </c>
      <c r="C16" s="11" t="s">
        <v>190</v>
      </c>
      <c r="D16" s="10" t="s">
        <v>147</v>
      </c>
      <c r="E16" s="55">
        <v>42194</v>
      </c>
      <c r="F16" s="55">
        <v>42194</v>
      </c>
      <c r="G16" s="10" t="s">
        <v>18</v>
      </c>
      <c r="H16" s="27"/>
      <c r="I16" s="27"/>
      <c r="J16" s="27"/>
      <c r="K16" s="28">
        <v>10.18</v>
      </c>
      <c r="L16" s="27"/>
      <c r="M16" s="27"/>
      <c r="N16" s="27"/>
      <c r="O16" s="26">
        <f t="shared" si="3"/>
        <v>10.18</v>
      </c>
      <c r="P16" s="27"/>
      <c r="Q16" s="27"/>
      <c r="R16" s="26">
        <f>SUM(O16:Q16)</f>
        <v>10.18</v>
      </c>
    </row>
    <row r="17" spans="1:19" s="49" customFormat="1" ht="24" x14ac:dyDescent="0.2">
      <c r="A17" s="7" t="s">
        <v>31</v>
      </c>
      <c r="B17" s="14" t="s">
        <v>139</v>
      </c>
      <c r="C17" s="11" t="s">
        <v>169</v>
      </c>
      <c r="D17" s="13" t="s">
        <v>132</v>
      </c>
      <c r="E17" s="55">
        <v>42177</v>
      </c>
      <c r="F17" s="55">
        <v>42178</v>
      </c>
      <c r="G17" s="13" t="s">
        <v>155</v>
      </c>
      <c r="H17" s="52"/>
      <c r="I17" s="27"/>
      <c r="J17" s="28"/>
      <c r="K17" s="28"/>
      <c r="L17" s="28">
        <v>89.99</v>
      </c>
      <c r="M17" s="28"/>
      <c r="N17" s="28"/>
      <c r="O17" s="26">
        <f t="shared" si="3"/>
        <v>89.99</v>
      </c>
      <c r="P17" s="28"/>
      <c r="Q17" s="28"/>
      <c r="R17" s="26">
        <f>SUM(O17:Q17)</f>
        <v>89.99</v>
      </c>
      <c r="S17" s="9"/>
    </row>
    <row r="18" spans="1:19" s="12" customFormat="1" ht="24" x14ac:dyDescent="0.2">
      <c r="A18" s="7" t="s">
        <v>27</v>
      </c>
      <c r="B18" s="8" t="s">
        <v>174</v>
      </c>
      <c r="C18" s="8" t="s">
        <v>192</v>
      </c>
      <c r="D18" s="18"/>
      <c r="E18" s="55">
        <v>42146</v>
      </c>
      <c r="F18" s="55">
        <v>42146</v>
      </c>
      <c r="G18" s="57" t="s">
        <v>18</v>
      </c>
      <c r="H18" s="37"/>
      <c r="I18" s="37"/>
      <c r="J18" s="48"/>
      <c r="K18" s="48">
        <v>14.5</v>
      </c>
      <c r="L18" s="48"/>
      <c r="M18" s="48"/>
      <c r="N18" s="48"/>
      <c r="O18" s="47">
        <f t="shared" si="3"/>
        <v>14.5</v>
      </c>
      <c r="P18" s="48"/>
      <c r="Q18" s="48"/>
      <c r="R18" s="47">
        <f>SUM(O18:P18:Q18)</f>
        <v>14.5</v>
      </c>
      <c r="S18" s="9"/>
    </row>
    <row r="19" spans="1:19" s="49" customFormat="1" ht="24" x14ac:dyDescent="0.2">
      <c r="A19" s="7" t="s">
        <v>27</v>
      </c>
      <c r="B19" s="8" t="s">
        <v>174</v>
      </c>
      <c r="C19" s="11" t="s">
        <v>192</v>
      </c>
      <c r="D19" s="18"/>
      <c r="E19" s="55">
        <v>42156</v>
      </c>
      <c r="F19" s="55">
        <v>42156</v>
      </c>
      <c r="G19" s="57" t="s">
        <v>18</v>
      </c>
      <c r="H19" s="37"/>
      <c r="I19" s="37"/>
      <c r="J19" s="48"/>
      <c r="K19" s="48">
        <v>14.75</v>
      </c>
      <c r="L19" s="48"/>
      <c r="M19" s="48"/>
      <c r="N19" s="48"/>
      <c r="O19" s="47">
        <f t="shared" si="2"/>
        <v>14.75</v>
      </c>
      <c r="P19" s="48"/>
      <c r="Q19" s="48"/>
      <c r="R19" s="26">
        <f>SUM(O19:Q19)</f>
        <v>14.75</v>
      </c>
      <c r="S19" s="9"/>
    </row>
    <row r="20" spans="1:19" s="12" customFormat="1" ht="12" x14ac:dyDescent="0.2">
      <c r="A20" s="7" t="s">
        <v>27</v>
      </c>
      <c r="B20" s="8" t="s">
        <v>174</v>
      </c>
      <c r="C20" s="18" t="s">
        <v>54</v>
      </c>
      <c r="D20" s="20"/>
      <c r="E20" s="55">
        <v>42160</v>
      </c>
      <c r="F20" s="55">
        <v>42160</v>
      </c>
      <c r="G20" s="13" t="s">
        <v>18</v>
      </c>
      <c r="H20" s="7"/>
      <c r="I20" s="7"/>
      <c r="J20" s="46"/>
      <c r="K20" s="46">
        <v>16.25</v>
      </c>
      <c r="L20" s="46"/>
      <c r="M20" s="46"/>
      <c r="N20" s="46"/>
      <c r="O20" s="47">
        <f t="shared" si="2"/>
        <v>16.25</v>
      </c>
      <c r="P20" s="46"/>
      <c r="Q20" s="46"/>
      <c r="R20" s="47">
        <f>SUM(O20:P20:Q20)</f>
        <v>16.25</v>
      </c>
      <c r="S20" s="9"/>
    </row>
    <row r="21" spans="1:19" s="12" customFormat="1" ht="12" x14ac:dyDescent="0.2">
      <c r="A21" s="7" t="s">
        <v>27</v>
      </c>
      <c r="B21" s="8" t="s">
        <v>174</v>
      </c>
      <c r="C21" s="8" t="s">
        <v>55</v>
      </c>
      <c r="D21" s="18"/>
      <c r="E21" s="55">
        <v>42165</v>
      </c>
      <c r="F21" s="55">
        <v>42165</v>
      </c>
      <c r="G21" s="57" t="s">
        <v>18</v>
      </c>
      <c r="H21" s="37"/>
      <c r="I21" s="37"/>
      <c r="J21" s="48"/>
      <c r="K21" s="48">
        <v>27.75</v>
      </c>
      <c r="L21" s="48"/>
      <c r="M21" s="48"/>
      <c r="N21" s="48"/>
      <c r="O21" s="47">
        <f t="shared" si="2"/>
        <v>27.75</v>
      </c>
      <c r="P21" s="48"/>
      <c r="Q21" s="48"/>
      <c r="R21" s="26">
        <f t="shared" ref="R21:R26" si="4">SUM(O21:Q21)</f>
        <v>27.75</v>
      </c>
      <c r="S21" s="9"/>
    </row>
    <row r="22" spans="1:19" s="49" customFormat="1" ht="24" x14ac:dyDescent="0.2">
      <c r="A22" s="10" t="s">
        <v>173</v>
      </c>
      <c r="B22" s="10" t="s">
        <v>25</v>
      </c>
      <c r="C22" s="11" t="s">
        <v>192</v>
      </c>
      <c r="D22" s="20"/>
      <c r="E22" s="55">
        <v>42200</v>
      </c>
      <c r="F22" s="55">
        <v>42200</v>
      </c>
      <c r="G22" s="10" t="s">
        <v>18</v>
      </c>
      <c r="H22" s="27"/>
      <c r="I22" s="27"/>
      <c r="J22" s="27"/>
      <c r="K22" s="28">
        <v>30.1</v>
      </c>
      <c r="L22" s="27"/>
      <c r="M22" s="27"/>
      <c r="N22" s="27"/>
      <c r="O22" s="26">
        <f t="shared" si="2"/>
        <v>30.1</v>
      </c>
      <c r="P22" s="27"/>
      <c r="Q22" s="27"/>
      <c r="R22" s="26">
        <f t="shared" si="4"/>
        <v>30.1</v>
      </c>
      <c r="S22" s="12"/>
    </row>
    <row r="23" spans="1:19" s="49" customFormat="1" ht="24" x14ac:dyDescent="0.2">
      <c r="A23" s="7" t="s">
        <v>33</v>
      </c>
      <c r="B23" s="14" t="s">
        <v>34</v>
      </c>
      <c r="C23" s="11" t="s">
        <v>178</v>
      </c>
      <c r="D23" s="13" t="s">
        <v>127</v>
      </c>
      <c r="E23" s="55">
        <v>42165</v>
      </c>
      <c r="F23" s="55">
        <v>42165</v>
      </c>
      <c r="G23" s="13" t="s">
        <v>144</v>
      </c>
      <c r="H23" s="34"/>
      <c r="I23" s="34"/>
      <c r="J23" s="35"/>
      <c r="K23" s="35">
        <v>100.6</v>
      </c>
      <c r="L23" s="35"/>
      <c r="M23" s="35"/>
      <c r="N23" s="35"/>
      <c r="O23" s="47">
        <f t="shared" si="2"/>
        <v>100.6</v>
      </c>
      <c r="P23" s="35"/>
      <c r="Q23" s="35"/>
      <c r="R23" s="47">
        <f t="shared" si="4"/>
        <v>100.6</v>
      </c>
      <c r="S23" s="9"/>
    </row>
    <row r="24" spans="1:19" s="49" customFormat="1" ht="24" x14ac:dyDescent="0.2">
      <c r="A24" s="7" t="s">
        <v>33</v>
      </c>
      <c r="B24" s="14" t="s">
        <v>34</v>
      </c>
      <c r="C24" s="11" t="s">
        <v>169</v>
      </c>
      <c r="D24" s="13" t="s">
        <v>132</v>
      </c>
      <c r="E24" s="55">
        <v>42177</v>
      </c>
      <c r="F24" s="55">
        <v>42177</v>
      </c>
      <c r="G24" s="13" t="s">
        <v>47</v>
      </c>
      <c r="H24" s="34"/>
      <c r="I24" s="34"/>
      <c r="J24" s="35"/>
      <c r="K24" s="35">
        <v>108.27</v>
      </c>
      <c r="L24" s="35"/>
      <c r="M24" s="35"/>
      <c r="N24" s="35"/>
      <c r="O24" s="47">
        <f t="shared" si="2"/>
        <v>108.27</v>
      </c>
      <c r="P24" s="35"/>
      <c r="Q24" s="35"/>
      <c r="R24" s="47">
        <f t="shared" si="4"/>
        <v>108.27</v>
      </c>
      <c r="S24" s="9"/>
    </row>
    <row r="25" spans="1:19" s="12" customFormat="1" ht="24" x14ac:dyDescent="0.2">
      <c r="A25" s="37" t="s">
        <v>2</v>
      </c>
      <c r="B25" s="18" t="s">
        <v>19</v>
      </c>
      <c r="C25" s="11" t="s">
        <v>169</v>
      </c>
      <c r="D25" s="18" t="s">
        <v>132</v>
      </c>
      <c r="E25" s="58">
        <v>42182</v>
      </c>
      <c r="F25" s="58">
        <v>42182</v>
      </c>
      <c r="G25" s="57" t="s">
        <v>118</v>
      </c>
      <c r="H25" s="37"/>
      <c r="I25" s="37"/>
      <c r="J25" s="48"/>
      <c r="K25" s="54">
        <v>28</v>
      </c>
      <c r="L25" s="48"/>
      <c r="M25" s="48"/>
      <c r="N25" s="48"/>
      <c r="O25" s="47">
        <f t="shared" si="2"/>
        <v>28</v>
      </c>
      <c r="P25" s="48"/>
      <c r="Q25" s="48"/>
      <c r="R25" s="47">
        <f t="shared" si="4"/>
        <v>28</v>
      </c>
      <c r="S25" s="49"/>
    </row>
    <row r="26" spans="1:19" s="12" customFormat="1" ht="24" customHeight="1" x14ac:dyDescent="0.2">
      <c r="A26" s="37" t="s">
        <v>2</v>
      </c>
      <c r="B26" s="18" t="s">
        <v>19</v>
      </c>
      <c r="C26" s="18" t="s">
        <v>170</v>
      </c>
      <c r="D26" s="18"/>
      <c r="E26" s="58">
        <v>42200</v>
      </c>
      <c r="F26" s="58">
        <v>42201</v>
      </c>
      <c r="G26" s="57" t="s">
        <v>99</v>
      </c>
      <c r="H26" s="37"/>
      <c r="I26" s="37"/>
      <c r="J26" s="48">
        <v>551.25</v>
      </c>
      <c r="K26" s="54"/>
      <c r="L26" s="48"/>
      <c r="M26" s="48"/>
      <c r="N26" s="48"/>
      <c r="O26" s="47">
        <f>SUM(J26:N26)</f>
        <v>551.25</v>
      </c>
      <c r="P26" s="48"/>
      <c r="Q26" s="48"/>
      <c r="R26" s="47">
        <f t="shared" si="4"/>
        <v>551.25</v>
      </c>
      <c r="S26" s="49"/>
    </row>
    <row r="27" spans="1:19" s="12" customFormat="1" ht="24" x14ac:dyDescent="0.2">
      <c r="A27" s="10" t="s">
        <v>2</v>
      </c>
      <c r="B27" s="10" t="s">
        <v>19</v>
      </c>
      <c r="C27" s="18" t="s">
        <v>170</v>
      </c>
      <c r="D27" s="20"/>
      <c r="E27" s="55">
        <v>42213</v>
      </c>
      <c r="F27" s="55">
        <v>42214</v>
      </c>
      <c r="G27" s="13" t="s">
        <v>118</v>
      </c>
      <c r="H27" s="7"/>
      <c r="I27" s="7"/>
      <c r="J27" s="46"/>
      <c r="K27" s="46">
        <v>22.5</v>
      </c>
      <c r="L27" s="46"/>
      <c r="M27" s="46"/>
      <c r="N27" s="46"/>
      <c r="O27" s="47">
        <f t="shared" si="2"/>
        <v>22.5</v>
      </c>
      <c r="P27" s="46"/>
      <c r="Q27" s="46"/>
      <c r="R27" s="47">
        <f>SUM(O27:P27:Q27)</f>
        <v>22.5</v>
      </c>
      <c r="S27" s="9"/>
    </row>
    <row r="28" spans="1:19" s="12" customFormat="1" ht="24" x14ac:dyDescent="0.2">
      <c r="A28" s="37" t="s">
        <v>133</v>
      </c>
      <c r="B28" s="18" t="s">
        <v>177</v>
      </c>
      <c r="C28" s="11" t="s">
        <v>107</v>
      </c>
      <c r="D28" s="18" t="s">
        <v>165</v>
      </c>
      <c r="E28" s="58">
        <v>42159</v>
      </c>
      <c r="F28" s="58">
        <v>42159</v>
      </c>
      <c r="G28" s="57" t="s">
        <v>18</v>
      </c>
      <c r="H28" s="37"/>
      <c r="I28" s="37"/>
      <c r="J28" s="48"/>
      <c r="K28" s="54">
        <v>21.25</v>
      </c>
      <c r="L28" s="48"/>
      <c r="M28" s="48"/>
      <c r="N28" s="48"/>
      <c r="O28" s="47">
        <f t="shared" si="2"/>
        <v>21.25</v>
      </c>
      <c r="P28" s="48"/>
      <c r="Q28" s="48"/>
      <c r="R28" s="47">
        <f t="shared" ref="R28:R42" si="5">SUM(O28:Q28)</f>
        <v>21.25</v>
      </c>
      <c r="S28" s="49"/>
    </row>
    <row r="29" spans="1:19" s="12" customFormat="1" ht="36" x14ac:dyDescent="0.2">
      <c r="A29" s="37" t="s">
        <v>133</v>
      </c>
      <c r="B29" s="18" t="s">
        <v>177</v>
      </c>
      <c r="C29" s="11" t="s">
        <v>186</v>
      </c>
      <c r="D29" s="18" t="s">
        <v>176</v>
      </c>
      <c r="E29" s="58">
        <v>42162</v>
      </c>
      <c r="F29" s="58">
        <v>42163</v>
      </c>
      <c r="G29" s="57" t="s">
        <v>135</v>
      </c>
      <c r="H29" s="37"/>
      <c r="I29" s="37"/>
      <c r="J29" s="48"/>
      <c r="K29" s="54">
        <v>235.15</v>
      </c>
      <c r="L29" s="48"/>
      <c r="M29" s="48">
        <v>4.58</v>
      </c>
      <c r="N29" s="48"/>
      <c r="O29" s="47">
        <f>SUM(J29:N29)</f>
        <v>239.73000000000002</v>
      </c>
      <c r="P29" s="48"/>
      <c r="Q29" s="48"/>
      <c r="R29" s="47">
        <f t="shared" si="5"/>
        <v>239.73000000000002</v>
      </c>
      <c r="S29" s="49"/>
    </row>
    <row r="30" spans="1:19" s="12" customFormat="1" ht="24" x14ac:dyDescent="0.2">
      <c r="A30" s="10" t="s">
        <v>102</v>
      </c>
      <c r="B30" s="10" t="s">
        <v>25</v>
      </c>
      <c r="C30" s="11" t="s">
        <v>192</v>
      </c>
      <c r="D30" s="20"/>
      <c r="E30" s="55">
        <v>42155</v>
      </c>
      <c r="F30" s="55">
        <v>42156</v>
      </c>
      <c r="G30" s="10" t="s">
        <v>18</v>
      </c>
      <c r="H30" s="27"/>
      <c r="I30" s="27"/>
      <c r="J30" s="27"/>
      <c r="K30" s="28">
        <v>407.8</v>
      </c>
      <c r="L30" s="27"/>
      <c r="M30" s="27"/>
      <c r="N30" s="27"/>
      <c r="O30" s="26">
        <f>SUM(J30:N30)</f>
        <v>407.8</v>
      </c>
      <c r="P30" s="27"/>
      <c r="Q30" s="27"/>
      <c r="R30" s="26">
        <f t="shared" si="5"/>
        <v>407.8</v>
      </c>
    </row>
    <row r="31" spans="1:19" s="87" customFormat="1" ht="23.45" customHeight="1" x14ac:dyDescent="0.2">
      <c r="A31" s="10" t="s">
        <v>102</v>
      </c>
      <c r="B31" s="10" t="s">
        <v>25</v>
      </c>
      <c r="C31" s="11" t="s">
        <v>55</v>
      </c>
      <c r="D31" s="20"/>
      <c r="E31" s="55">
        <v>42165</v>
      </c>
      <c r="F31" s="55">
        <v>42167</v>
      </c>
      <c r="G31" s="10" t="s">
        <v>18</v>
      </c>
      <c r="H31" s="27"/>
      <c r="I31" s="27"/>
      <c r="J31" s="27">
        <v>475.14</v>
      </c>
      <c r="K31" s="28">
        <v>72.819999999999993</v>
      </c>
      <c r="L31" s="27"/>
      <c r="M31" s="27"/>
      <c r="N31" s="27"/>
      <c r="O31" s="26">
        <f>SUM(J31:N31)</f>
        <v>547.96</v>
      </c>
      <c r="P31" s="27"/>
      <c r="Q31" s="27"/>
      <c r="R31" s="26">
        <f t="shared" si="5"/>
        <v>547.96</v>
      </c>
    </row>
    <row r="32" spans="1:19" s="87" customFormat="1" ht="12" x14ac:dyDescent="0.2">
      <c r="A32" s="10" t="s">
        <v>148</v>
      </c>
      <c r="B32" s="10" t="s">
        <v>25</v>
      </c>
      <c r="C32" s="11" t="s">
        <v>55</v>
      </c>
      <c r="D32" s="20"/>
      <c r="E32" s="55">
        <v>42165</v>
      </c>
      <c r="F32" s="55">
        <v>42165</v>
      </c>
      <c r="G32" s="10" t="s">
        <v>18</v>
      </c>
      <c r="H32" s="27"/>
      <c r="I32" s="27"/>
      <c r="J32" s="27"/>
      <c r="K32" s="28">
        <v>21.25</v>
      </c>
      <c r="L32" s="27"/>
      <c r="M32" s="27"/>
      <c r="N32" s="27"/>
      <c r="O32" s="26">
        <f t="shared" si="2"/>
        <v>21.25</v>
      </c>
      <c r="P32" s="27"/>
      <c r="Q32" s="27"/>
      <c r="R32" s="26">
        <f t="shared" si="5"/>
        <v>21.25</v>
      </c>
    </row>
    <row r="33" spans="1:19" s="91" customFormat="1" ht="24" x14ac:dyDescent="0.2">
      <c r="A33" s="68" t="s">
        <v>38</v>
      </c>
      <c r="B33" s="69" t="s">
        <v>168</v>
      </c>
      <c r="C33" s="90" t="s">
        <v>196</v>
      </c>
      <c r="D33" s="69" t="s">
        <v>154</v>
      </c>
      <c r="E33" s="70">
        <v>42115</v>
      </c>
      <c r="F33" s="70">
        <v>42115</v>
      </c>
      <c r="G33" s="69" t="s">
        <v>18</v>
      </c>
      <c r="H33" s="71"/>
      <c r="I33" s="71"/>
      <c r="J33" s="53"/>
      <c r="K33" s="53">
        <v>8</v>
      </c>
      <c r="L33" s="53"/>
      <c r="M33" s="53"/>
      <c r="N33" s="53"/>
      <c r="O33" s="53">
        <f t="shared" si="2"/>
        <v>8</v>
      </c>
      <c r="P33" s="53"/>
      <c r="Q33" s="53"/>
      <c r="R33" s="53">
        <f t="shared" si="5"/>
        <v>8</v>
      </c>
    </row>
    <row r="34" spans="1:19" s="91" customFormat="1" ht="24" x14ac:dyDescent="0.2">
      <c r="A34" s="68" t="s">
        <v>38</v>
      </c>
      <c r="B34" s="69" t="s">
        <v>168</v>
      </c>
      <c r="C34" s="90" t="s">
        <v>196</v>
      </c>
      <c r="D34" s="69" t="s">
        <v>154</v>
      </c>
      <c r="E34" s="70">
        <v>42153</v>
      </c>
      <c r="F34" s="70">
        <v>42153</v>
      </c>
      <c r="G34" s="69" t="s">
        <v>18</v>
      </c>
      <c r="H34" s="71"/>
      <c r="I34" s="71"/>
      <c r="J34" s="53"/>
      <c r="K34" s="53">
        <v>12</v>
      </c>
      <c r="L34" s="53"/>
      <c r="M34" s="53"/>
      <c r="N34" s="53"/>
      <c r="O34" s="53">
        <f t="shared" si="2"/>
        <v>12</v>
      </c>
      <c r="P34" s="53"/>
      <c r="Q34" s="53"/>
      <c r="R34" s="53">
        <f>SUM(O34:Q34)</f>
        <v>12</v>
      </c>
    </row>
    <row r="35" spans="1:19" s="87" customFormat="1" ht="24" x14ac:dyDescent="0.2">
      <c r="A35" s="10" t="s">
        <v>38</v>
      </c>
      <c r="B35" s="13" t="s">
        <v>168</v>
      </c>
      <c r="C35" s="11" t="s">
        <v>178</v>
      </c>
      <c r="D35" s="13" t="s">
        <v>127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>
        <v>62.4</v>
      </c>
      <c r="L35" s="28"/>
      <c r="M35" s="28"/>
      <c r="N35" s="28"/>
      <c r="O35" s="26">
        <f t="shared" si="2"/>
        <v>62.4</v>
      </c>
      <c r="P35" s="28"/>
      <c r="Q35" s="28"/>
      <c r="R35" s="26">
        <f t="shared" si="5"/>
        <v>62.4</v>
      </c>
    </row>
    <row r="36" spans="1:19" s="87" customFormat="1" ht="24" x14ac:dyDescent="0.2">
      <c r="A36" s="10" t="s">
        <v>38</v>
      </c>
      <c r="B36" s="13" t="s">
        <v>168</v>
      </c>
      <c r="C36" s="11" t="s">
        <v>130</v>
      </c>
      <c r="D36" s="13" t="s">
        <v>156</v>
      </c>
      <c r="E36" s="55">
        <v>42145</v>
      </c>
      <c r="F36" s="55">
        <v>42145</v>
      </c>
      <c r="G36" s="13" t="s">
        <v>18</v>
      </c>
      <c r="H36" s="27"/>
      <c r="I36" s="27"/>
      <c r="J36" s="28"/>
      <c r="K36" s="28">
        <v>10</v>
      </c>
      <c r="L36" s="28"/>
      <c r="M36" s="28"/>
      <c r="N36" s="28"/>
      <c r="O36" s="26">
        <f t="shared" si="2"/>
        <v>10</v>
      </c>
      <c r="P36" s="28"/>
      <c r="Q36" s="28"/>
      <c r="R36" s="26">
        <f t="shared" si="5"/>
        <v>10</v>
      </c>
    </row>
    <row r="37" spans="1:19" s="87" customFormat="1" ht="24" x14ac:dyDescent="0.2">
      <c r="A37" s="10" t="s">
        <v>38</v>
      </c>
      <c r="B37" s="13" t="s">
        <v>168</v>
      </c>
      <c r="C37" s="11" t="s">
        <v>178</v>
      </c>
      <c r="D37" s="13" t="s">
        <v>127</v>
      </c>
      <c r="E37" s="55">
        <v>42152</v>
      </c>
      <c r="F37" s="55">
        <v>42152</v>
      </c>
      <c r="G37" s="13" t="s">
        <v>166</v>
      </c>
      <c r="H37" s="27"/>
      <c r="I37" s="27"/>
      <c r="J37" s="28"/>
      <c r="K37" s="28">
        <v>90.4</v>
      </c>
      <c r="L37" s="28"/>
      <c r="M37" s="28"/>
      <c r="N37" s="28"/>
      <c r="O37" s="26">
        <f t="shared" si="2"/>
        <v>90.4</v>
      </c>
      <c r="P37" s="28"/>
      <c r="Q37" s="28"/>
      <c r="R37" s="26">
        <f t="shared" si="5"/>
        <v>90.4</v>
      </c>
    </row>
    <row r="38" spans="1:19" s="89" customFormat="1" ht="34.5" customHeight="1" x14ac:dyDescent="0.2">
      <c r="A38" s="10" t="s">
        <v>38</v>
      </c>
      <c r="B38" s="13" t="s">
        <v>168</v>
      </c>
      <c r="C38" s="11" t="s">
        <v>178</v>
      </c>
      <c r="D38" s="13" t="s">
        <v>127</v>
      </c>
      <c r="E38" s="55">
        <v>42167</v>
      </c>
      <c r="F38" s="55">
        <v>42167</v>
      </c>
      <c r="G38" s="13" t="s">
        <v>149</v>
      </c>
      <c r="H38" s="27"/>
      <c r="I38" s="27"/>
      <c r="J38" s="28"/>
      <c r="K38" s="28">
        <v>192</v>
      </c>
      <c r="L38" s="28"/>
      <c r="M38" s="28"/>
      <c r="N38" s="28"/>
      <c r="O38" s="26">
        <f t="shared" si="2"/>
        <v>192</v>
      </c>
      <c r="P38" s="28"/>
      <c r="Q38" s="28"/>
      <c r="R38" s="26">
        <f t="shared" si="5"/>
        <v>192</v>
      </c>
      <c r="S38" s="88"/>
    </row>
    <row r="39" spans="1:19" s="49" customFormat="1" ht="24" x14ac:dyDescent="0.2">
      <c r="A39" s="81" t="s">
        <v>38</v>
      </c>
      <c r="B39" s="82" t="s">
        <v>168</v>
      </c>
      <c r="C39" s="83" t="s">
        <v>169</v>
      </c>
      <c r="D39" s="82" t="s">
        <v>132</v>
      </c>
      <c r="E39" s="84">
        <v>42174</v>
      </c>
      <c r="F39" s="84">
        <v>42174</v>
      </c>
      <c r="G39" s="82" t="s">
        <v>150</v>
      </c>
      <c r="H39" s="85"/>
      <c r="I39" s="85"/>
      <c r="J39" s="86"/>
      <c r="K39" s="86">
        <v>128</v>
      </c>
      <c r="L39" s="86"/>
      <c r="M39" s="86"/>
      <c r="N39" s="86"/>
      <c r="O39" s="26">
        <f t="shared" si="2"/>
        <v>128</v>
      </c>
      <c r="P39" s="86"/>
      <c r="Q39" s="86"/>
      <c r="R39" s="26">
        <f t="shared" si="5"/>
        <v>128</v>
      </c>
      <c r="S39" s="12"/>
    </row>
    <row r="40" spans="1:19" s="9" customFormat="1" ht="24" x14ac:dyDescent="0.2">
      <c r="A40" s="10" t="s">
        <v>38</v>
      </c>
      <c r="B40" s="13" t="s">
        <v>168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129</v>
      </c>
      <c r="H40" s="27"/>
      <c r="I40" s="27"/>
      <c r="J40" s="28"/>
      <c r="K40" s="28">
        <v>62.4</v>
      </c>
      <c r="L40" s="28"/>
      <c r="M40" s="28"/>
      <c r="N40" s="28"/>
      <c r="O40" s="26">
        <f t="shared" si="2"/>
        <v>62.4</v>
      </c>
      <c r="P40" s="28"/>
      <c r="Q40" s="28"/>
      <c r="R40" s="26">
        <f t="shared" si="5"/>
        <v>62.4</v>
      </c>
      <c r="S40" s="12"/>
    </row>
    <row r="41" spans="1:19" s="9" customFormat="1" ht="24" x14ac:dyDescent="0.2">
      <c r="A41" s="10" t="s">
        <v>38</v>
      </c>
      <c r="B41" s="13" t="s">
        <v>168</v>
      </c>
      <c r="C41" s="11" t="s">
        <v>169</v>
      </c>
      <c r="D41" s="13" t="s">
        <v>132</v>
      </c>
      <c r="E41" s="55">
        <v>42178</v>
      </c>
      <c r="F41" s="55">
        <v>42179</v>
      </c>
      <c r="G41" s="13" t="s">
        <v>128</v>
      </c>
      <c r="H41" s="27"/>
      <c r="I41" s="27"/>
      <c r="J41" s="28"/>
      <c r="K41" s="28">
        <v>150</v>
      </c>
      <c r="L41" s="28">
        <v>129</v>
      </c>
      <c r="M41" s="28"/>
      <c r="N41" s="28"/>
      <c r="O41" s="26">
        <f>SUM(J41:N41)</f>
        <v>279</v>
      </c>
      <c r="P41" s="28"/>
      <c r="Q41" s="28"/>
      <c r="R41" s="26">
        <f t="shared" si="5"/>
        <v>279</v>
      </c>
      <c r="S41" s="12"/>
    </row>
    <row r="42" spans="1:19" s="9" customFormat="1" ht="24" x14ac:dyDescent="0.2">
      <c r="A42" s="10" t="s">
        <v>38</v>
      </c>
      <c r="B42" s="13" t="s">
        <v>168</v>
      </c>
      <c r="C42" s="11" t="s">
        <v>169</v>
      </c>
      <c r="D42" s="13" t="s">
        <v>132</v>
      </c>
      <c r="E42" s="55">
        <v>42198</v>
      </c>
      <c r="F42" s="55">
        <v>42199</v>
      </c>
      <c r="G42" s="13" t="s">
        <v>151</v>
      </c>
      <c r="H42" s="27"/>
      <c r="I42" s="27"/>
      <c r="J42" s="28"/>
      <c r="K42" s="28"/>
      <c r="L42" s="28">
        <v>99</v>
      </c>
      <c r="M42" s="28"/>
      <c r="N42" s="28"/>
      <c r="O42" s="26">
        <f>SUM(J42:N42)</f>
        <v>99</v>
      </c>
      <c r="P42" s="28"/>
      <c r="Q42" s="28"/>
      <c r="R42" s="26">
        <f t="shared" si="5"/>
        <v>99</v>
      </c>
      <c r="S42" s="12"/>
    </row>
    <row r="43" spans="1:19" s="92" customFormat="1" ht="17.100000000000001" customHeight="1" x14ac:dyDescent="0.2">
      <c r="A43" s="68" t="s">
        <v>38</v>
      </c>
      <c r="B43" s="69" t="s">
        <v>168</v>
      </c>
      <c r="C43" s="90" t="s">
        <v>197</v>
      </c>
      <c r="D43" s="69" t="s">
        <v>198</v>
      </c>
      <c r="E43" s="70">
        <v>42160</v>
      </c>
      <c r="F43" s="70">
        <v>42160</v>
      </c>
      <c r="G43" s="69" t="s">
        <v>18</v>
      </c>
      <c r="H43" s="71"/>
      <c r="I43" s="71"/>
      <c r="J43" s="53"/>
      <c r="K43" s="53">
        <v>10</v>
      </c>
      <c r="L43" s="53"/>
      <c r="M43" s="53"/>
      <c r="N43" s="53"/>
      <c r="O43" s="53">
        <f>SUM(J43:N43)</f>
        <v>10</v>
      </c>
      <c r="P43" s="53"/>
      <c r="Q43" s="53"/>
      <c r="R43" s="53">
        <f>SUM(O43:Q43)</f>
        <v>10</v>
      </c>
      <c r="S43" s="72"/>
    </row>
    <row r="44" spans="1:19" s="49" customFormat="1" ht="12" x14ac:dyDescent="0.2"/>
    <row r="45" spans="1:19" s="49" customFormat="1" ht="12" x14ac:dyDescent="0.2"/>
    <row r="46" spans="1:19" s="49" customFormat="1" ht="12" x14ac:dyDescent="0.2"/>
    <row r="49" spans="1:4" x14ac:dyDescent="0.2">
      <c r="A49" t="s">
        <v>112</v>
      </c>
    </row>
    <row r="50" spans="1:4" x14ac:dyDescent="0.2">
      <c r="D50" s="21"/>
    </row>
  </sheetData>
  <sortState xmlns:xlrd2="http://schemas.microsoft.com/office/spreadsheetml/2017/richdata2" ref="A2:S50">
    <sortCondition ref="A2:A50"/>
    <sortCondition ref="E2:E50"/>
  </sortState>
  <pageMargins left="0.7" right="0.7" top="0.75" bottom="0.75" header="0.3" footer="0.3"/>
  <pageSetup paperSize="5" scale="5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view="pageBreakPreview" zoomScale="60" zoomScaleNormal="100" workbookViewId="0">
      <selection activeCell="A9" sqref="A9:XFD9"/>
    </sheetView>
  </sheetViews>
  <sheetFormatPr defaultRowHeight="14.25" x14ac:dyDescent="0.2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625" bestFit="1" customWidth="1"/>
    <col min="9" max="9" width="4" style="6" customWidth="1"/>
  </cols>
  <sheetData>
    <row r="1" spans="1:18" ht="60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42165</v>
      </c>
      <c r="F2" s="55">
        <v>42166</v>
      </c>
      <c r="G2" s="10" t="s">
        <v>18</v>
      </c>
      <c r="H2" s="27"/>
      <c r="I2" s="74"/>
      <c r="J2" s="27"/>
      <c r="K2" s="28">
        <v>83.2</v>
      </c>
      <c r="L2" s="27"/>
      <c r="M2" s="27"/>
      <c r="N2" s="27"/>
      <c r="O2" s="26">
        <f t="shared" ref="O2:O10" si="0">SUM(J2:N2)</f>
        <v>83.2</v>
      </c>
      <c r="P2" s="27"/>
      <c r="Q2" s="27"/>
      <c r="R2" s="26">
        <f>SUM(O2:Q2)</f>
        <v>83.2</v>
      </c>
    </row>
    <row r="3" spans="1:18" s="12" customFormat="1" ht="12" x14ac:dyDescent="0.2">
      <c r="A3" s="7" t="s">
        <v>30</v>
      </c>
      <c r="B3" s="8" t="s">
        <v>25</v>
      </c>
      <c r="C3" s="8" t="s">
        <v>192</v>
      </c>
      <c r="D3" s="20"/>
      <c r="E3" s="55">
        <v>42201</v>
      </c>
      <c r="F3" s="55">
        <v>42201</v>
      </c>
      <c r="G3" s="13" t="s">
        <v>18</v>
      </c>
      <c r="H3" s="7"/>
      <c r="I3" s="20"/>
      <c r="J3" s="46"/>
      <c r="K3" s="46">
        <v>83.2</v>
      </c>
      <c r="L3" s="46"/>
      <c r="M3" s="46"/>
      <c r="N3" s="46"/>
      <c r="O3" s="47">
        <f t="shared" si="0"/>
        <v>83.2</v>
      </c>
      <c r="P3" s="46"/>
      <c r="Q3" s="46"/>
      <c r="R3" s="47">
        <f>SUM(O3:P3:Q3)</f>
        <v>83.2</v>
      </c>
    </row>
    <row r="4" spans="1:18" s="12" customFormat="1" ht="12" x14ac:dyDescent="0.2">
      <c r="A4" s="7" t="s">
        <v>30</v>
      </c>
      <c r="B4" s="8" t="s">
        <v>25</v>
      </c>
      <c r="C4" s="8" t="s">
        <v>169</v>
      </c>
      <c r="D4" s="20"/>
      <c r="E4" s="55">
        <v>42243</v>
      </c>
      <c r="F4" s="55">
        <v>42243</v>
      </c>
      <c r="G4" s="79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8" s="12" customFormat="1" ht="24" x14ac:dyDescent="0.2">
      <c r="A5" s="10" t="s">
        <v>20</v>
      </c>
      <c r="B5" s="10" t="s">
        <v>21</v>
      </c>
      <c r="C5" s="11" t="s">
        <v>107</v>
      </c>
      <c r="D5" s="8" t="s">
        <v>159</v>
      </c>
      <c r="E5" s="55">
        <v>42220</v>
      </c>
      <c r="F5" s="55">
        <v>42220</v>
      </c>
      <c r="G5" s="10" t="s">
        <v>18</v>
      </c>
      <c r="H5" s="27"/>
      <c r="I5" s="74"/>
      <c r="J5" s="27"/>
      <c r="K5" s="28">
        <v>10</v>
      </c>
      <c r="L5" s="27"/>
      <c r="M5" s="27"/>
      <c r="N5" s="27"/>
      <c r="O5" s="26">
        <f t="shared" si="0"/>
        <v>10</v>
      </c>
      <c r="P5" s="27"/>
      <c r="Q5" s="27"/>
      <c r="R5" s="26">
        <f t="shared" ref="R5:R14" si="1">SUM(O5:Q5)</f>
        <v>10</v>
      </c>
    </row>
    <row r="6" spans="1:18" s="12" customFormat="1" ht="12" x14ac:dyDescent="0.2">
      <c r="A6" s="10" t="s">
        <v>20</v>
      </c>
      <c r="B6" s="10" t="s">
        <v>21</v>
      </c>
      <c r="C6" s="11" t="s">
        <v>186</v>
      </c>
      <c r="D6" s="10" t="s">
        <v>158</v>
      </c>
      <c r="E6" s="55">
        <v>42242</v>
      </c>
      <c r="F6" s="55">
        <v>42244</v>
      </c>
      <c r="G6" s="10" t="s">
        <v>171</v>
      </c>
      <c r="H6" s="27"/>
      <c r="I6" s="74"/>
      <c r="J6" s="27">
        <v>1063.25</v>
      </c>
      <c r="K6" s="28"/>
      <c r="L6" s="27"/>
      <c r="M6" s="27"/>
      <c r="N6" s="27"/>
      <c r="O6" s="26">
        <f t="shared" si="0"/>
        <v>1063.25</v>
      </c>
      <c r="P6" s="27"/>
      <c r="Q6" s="27"/>
      <c r="R6" s="26">
        <f t="shared" si="1"/>
        <v>1063.25</v>
      </c>
    </row>
    <row r="7" spans="1:18" s="9" customFormat="1" ht="24" x14ac:dyDescent="0.2">
      <c r="A7" s="7" t="s">
        <v>31</v>
      </c>
      <c r="B7" s="14" t="s">
        <v>139</v>
      </c>
      <c r="C7" s="8" t="s">
        <v>190</v>
      </c>
      <c r="D7" s="13" t="s">
        <v>161</v>
      </c>
      <c r="E7" s="55">
        <v>42212</v>
      </c>
      <c r="F7" s="55">
        <v>42212</v>
      </c>
      <c r="G7" s="13" t="s">
        <v>18</v>
      </c>
      <c r="H7" s="31" t="s">
        <v>133</v>
      </c>
      <c r="I7" s="77">
        <v>1</v>
      </c>
      <c r="J7" s="28"/>
      <c r="K7" s="28"/>
      <c r="L7" s="28"/>
      <c r="M7" s="28"/>
      <c r="N7" s="28"/>
      <c r="O7" s="26">
        <f t="shared" si="0"/>
        <v>0</v>
      </c>
      <c r="P7" s="28">
        <v>78.75</v>
      </c>
      <c r="Q7" s="28"/>
      <c r="R7" s="26">
        <f>SUM(O7:Q7)</f>
        <v>78.75</v>
      </c>
    </row>
    <row r="8" spans="1:18" s="12" customFormat="1" ht="24" x14ac:dyDescent="0.2">
      <c r="A8" s="7" t="s">
        <v>31</v>
      </c>
      <c r="B8" s="14" t="s">
        <v>139</v>
      </c>
      <c r="C8" s="11" t="s">
        <v>193</v>
      </c>
      <c r="D8" s="13" t="s">
        <v>162</v>
      </c>
      <c r="E8" s="55">
        <v>42226</v>
      </c>
      <c r="F8" s="55">
        <v>42226</v>
      </c>
      <c r="G8" s="13" t="s">
        <v>18</v>
      </c>
      <c r="H8" s="52"/>
      <c r="I8" s="74"/>
      <c r="J8" s="28"/>
      <c r="K8" s="28">
        <v>18.14</v>
      </c>
      <c r="L8" s="28"/>
      <c r="M8" s="28"/>
      <c r="N8" s="28"/>
      <c r="O8" s="26">
        <f t="shared" si="0"/>
        <v>18.14</v>
      </c>
      <c r="P8" s="28"/>
      <c r="Q8" s="28"/>
      <c r="R8" s="26">
        <f t="shared" si="1"/>
        <v>18.14</v>
      </c>
    </row>
    <row r="9" spans="1:18" s="9" customFormat="1" ht="12" x14ac:dyDescent="0.2">
      <c r="A9" s="10" t="s">
        <v>126</v>
      </c>
      <c r="B9" s="10" t="s">
        <v>25</v>
      </c>
      <c r="C9" s="11" t="s">
        <v>55</v>
      </c>
      <c r="D9" s="20"/>
      <c r="E9" s="55">
        <v>42165</v>
      </c>
      <c r="F9" s="55">
        <v>42166</v>
      </c>
      <c r="G9" s="10" t="s">
        <v>18</v>
      </c>
      <c r="H9" s="27"/>
      <c r="I9" s="74"/>
      <c r="J9" s="27">
        <v>563.08000000000004</v>
      </c>
      <c r="K9" s="28">
        <v>117</v>
      </c>
      <c r="L9" s="27"/>
      <c r="M9" s="27"/>
      <c r="N9" s="27"/>
      <c r="O9" s="26">
        <f t="shared" si="0"/>
        <v>680.08</v>
      </c>
      <c r="P9" s="27"/>
      <c r="Q9" s="27"/>
      <c r="R9" s="26">
        <f t="shared" si="1"/>
        <v>680.08</v>
      </c>
    </row>
    <row r="10" spans="1:18" s="49" customFormat="1" ht="12" x14ac:dyDescent="0.2">
      <c r="A10" s="37" t="s">
        <v>2</v>
      </c>
      <c r="B10" s="18" t="s">
        <v>19</v>
      </c>
      <c r="C10" s="18" t="s">
        <v>170</v>
      </c>
      <c r="D10" s="73"/>
      <c r="E10" s="58">
        <v>42200</v>
      </c>
      <c r="F10" s="58">
        <v>42201</v>
      </c>
      <c r="G10" s="18" t="s">
        <v>99</v>
      </c>
      <c r="H10" s="37"/>
      <c r="I10" s="76"/>
      <c r="J10" s="48"/>
      <c r="K10" s="54"/>
      <c r="L10" s="48">
        <v>200</v>
      </c>
      <c r="M10" s="48">
        <f>2.14+9.79</f>
        <v>11.93</v>
      </c>
      <c r="N10" s="48"/>
      <c r="O10" s="47">
        <f t="shared" si="0"/>
        <v>211.93</v>
      </c>
      <c r="P10" s="48"/>
      <c r="Q10" s="48"/>
      <c r="R10" s="47">
        <f t="shared" si="1"/>
        <v>211.93</v>
      </c>
    </row>
    <row r="11" spans="1:18" s="49" customFormat="1" ht="12" x14ac:dyDescent="0.2">
      <c r="A11" s="37" t="s">
        <v>2</v>
      </c>
      <c r="B11" s="18" t="s">
        <v>19</v>
      </c>
      <c r="C11" s="18" t="s">
        <v>170</v>
      </c>
      <c r="D11" s="73"/>
      <c r="E11" s="58">
        <v>42213</v>
      </c>
      <c r="F11" s="58">
        <v>42214</v>
      </c>
      <c r="G11" s="18" t="s">
        <v>118</v>
      </c>
      <c r="H11" s="37"/>
      <c r="I11" s="76"/>
      <c r="J11" s="54">
        <f>232.12+208.12</f>
        <v>440.24</v>
      </c>
      <c r="K11" s="48">
        <v>60</v>
      </c>
      <c r="L11" s="48">
        <v>109</v>
      </c>
      <c r="M11" s="48">
        <f>6.46+9.79+9.95</f>
        <v>26.2</v>
      </c>
      <c r="N11" s="48"/>
      <c r="O11" s="47">
        <f>SUM(K11:N11)</f>
        <v>195.2</v>
      </c>
      <c r="P11" s="48"/>
      <c r="Q11" s="48"/>
      <c r="R11" s="47">
        <f t="shared" si="1"/>
        <v>195.2</v>
      </c>
    </row>
    <row r="12" spans="1:18" s="92" customFormat="1" ht="12" x14ac:dyDescent="0.2">
      <c r="A12" s="68" t="s">
        <v>38</v>
      </c>
      <c r="B12" s="69" t="s">
        <v>168</v>
      </c>
      <c r="C12" s="90" t="s">
        <v>197</v>
      </c>
      <c r="D12" s="69" t="s">
        <v>199</v>
      </c>
      <c r="E12" s="70">
        <v>42195</v>
      </c>
      <c r="F12" s="70">
        <v>42195</v>
      </c>
      <c r="G12" s="69" t="s">
        <v>200</v>
      </c>
      <c r="H12" s="71"/>
      <c r="I12" s="75"/>
      <c r="J12" s="53"/>
      <c r="K12" s="53">
        <v>10</v>
      </c>
      <c r="L12" s="53"/>
      <c r="M12" s="53"/>
      <c r="N12" s="53"/>
      <c r="O12" s="93">
        <f>SUM(K12:N12)</f>
        <v>10</v>
      </c>
      <c r="P12" s="53"/>
      <c r="Q12" s="53"/>
      <c r="R12" s="93">
        <f t="shared" si="1"/>
        <v>10</v>
      </c>
    </row>
    <row r="13" spans="1:18" s="9" customFormat="1" ht="12" x14ac:dyDescent="0.2">
      <c r="A13" s="10" t="s">
        <v>38</v>
      </c>
      <c r="B13" s="13" t="s">
        <v>168</v>
      </c>
      <c r="C13" s="11" t="s">
        <v>169</v>
      </c>
      <c r="D13" s="13" t="s">
        <v>132</v>
      </c>
      <c r="E13" s="55">
        <v>42199</v>
      </c>
      <c r="F13" s="55">
        <v>42200</v>
      </c>
      <c r="G13" s="13" t="s">
        <v>151</v>
      </c>
      <c r="H13" s="27"/>
      <c r="I13" s="74"/>
      <c r="J13" s="28">
        <v>675.88</v>
      </c>
      <c r="K13" s="28">
        <f>65+79.17+17.02</f>
        <v>161.19000000000003</v>
      </c>
      <c r="L13" s="28"/>
      <c r="M13" s="28"/>
      <c r="N13" s="28"/>
      <c r="O13" s="26">
        <f>SUM(J13:N13)</f>
        <v>837.07</v>
      </c>
      <c r="P13" s="28"/>
      <c r="Q13" s="28"/>
      <c r="R13" s="26">
        <f t="shared" si="1"/>
        <v>837.07</v>
      </c>
    </row>
    <row r="14" spans="1:18" s="12" customFormat="1" ht="12" x14ac:dyDescent="0.2">
      <c r="A14" s="10" t="s">
        <v>38</v>
      </c>
      <c r="B14" s="13" t="s">
        <v>167</v>
      </c>
      <c r="C14" s="11" t="s">
        <v>130</v>
      </c>
      <c r="D14" s="11"/>
      <c r="E14" s="55">
        <v>42217</v>
      </c>
      <c r="F14" s="55">
        <v>42217</v>
      </c>
      <c r="G14" s="18" t="s">
        <v>160</v>
      </c>
      <c r="H14" s="27"/>
      <c r="I14" s="74"/>
      <c r="J14" s="28"/>
      <c r="K14" s="28">
        <v>140</v>
      </c>
      <c r="L14" s="28"/>
      <c r="M14" s="28"/>
      <c r="N14" s="28"/>
      <c r="O14" s="26">
        <f>SUM(J14:N14)</f>
        <v>140</v>
      </c>
      <c r="P14" s="28"/>
      <c r="Q14" s="28"/>
      <c r="R14" s="26">
        <f t="shared" si="1"/>
        <v>140</v>
      </c>
    </row>
    <row r="19" spans="1:1" x14ac:dyDescent="0.2">
      <c r="A19" t="s">
        <v>112</v>
      </c>
    </row>
  </sheetData>
  <sortState xmlns:xlrd2="http://schemas.microsoft.com/office/spreadsheetml/2017/richdata2"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488433-40BE-4FF9-B56D-E1077192841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d5dbf3c4-6351-4866-a970-b781b46e3fc5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b4a9beac-0dde-4b56-b66f-3501d8afe7b0"/>
  </ds:schemaRefs>
</ds:datastoreItem>
</file>

<file path=customXml/itemProps3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Q2 Jul - Sep 2018</vt:lpstr>
      <vt:lpstr>Q3 Oct- Dec 2018</vt:lpstr>
      <vt:lpstr>Q4 Jan - March 2019</vt:lpstr>
      <vt:lpstr>Q1 April -June 2019</vt:lpstr>
      <vt:lpstr>Q2 July-Sep 2019</vt:lpstr>
      <vt:lpstr>Q3 Oct- Dec 2019</vt:lpstr>
      <vt:lpstr>Q4 Jan 2020- March 2020</vt:lpstr>
      <vt:lpstr>'Aug 15'!Print_Area</vt:lpstr>
      <vt:lpstr>'July 15'!Print_Area</vt:lpstr>
      <vt:lpstr>'Mar 15'!Print_Area</vt:lpstr>
      <vt:lpstr>'Sep 15'!Print_Area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2020-01-23T14:54:32Z</cp:lastPrinted>
  <dcterms:created xsi:type="dcterms:W3CDTF">2015-01-27T19:18:18Z</dcterms:created>
  <dcterms:modified xsi:type="dcterms:W3CDTF">2020-04-28T15:12:48Z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